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2" windowWidth="19140" windowHeight="7524" firstSheet="4" activeTab="7"/>
  </bookViews>
  <sheets>
    <sheet name="Budget" sheetId="1" r:id="rId1"/>
    <sheet name="MGS Renewals" sheetId="9" r:id="rId2"/>
    <sheet name="UMGF Renewals" sheetId="5" r:id="rId3"/>
    <sheet name="OIA Masters table" sheetId="3" r:id="rId4"/>
    <sheet name="OIA PHD_table" sheetId="6" r:id="rId5"/>
    <sheet name="May MGS Renewals" sheetId="12" r:id="rId6"/>
    <sheet name="May UMGF Renewals" sheetId="10" r:id="rId7"/>
    <sheet name="Final Allocation" sheetId="11" r:id="rId8"/>
  </sheets>
  <externalReferences>
    <externalReference r:id="rId9"/>
    <externalReference r:id="rId10"/>
  </externalReferences>
  <definedNames>
    <definedName name="_xlnm._FilterDatabase">#REF!</definedName>
    <definedName name="leave">#REF!</definedName>
    <definedName name="LEAVE_DATA">#REF!</definedName>
    <definedName name="pr_area">Step4 - [1]leaves!$A$24:$N$41</definedName>
    <definedName name="_xlnm.Print_Area" localSheetId="0">Budget!$A$1:$AD$129</definedName>
    <definedName name="_xlnm.Print_Area" localSheetId="4">'OIA PHD_table'!$A$1:$R$142</definedName>
    <definedName name="_xlnm.Print_Area">Step2 - [2]pivot!$A$1:$W$134</definedName>
    <definedName name="_xlnm.Print_Titles" localSheetId="0">Budget!$4:$5</definedName>
    <definedName name="_xlnm.Print_Titles" localSheetId="4">'OIA PHD_table'!$6:$10</definedName>
    <definedName name="_xlnm.Print_Titles">'OIA PHD_table'!$A$6:$IT$10</definedName>
  </definedNames>
  <calcPr calcId="145621"/>
  <pivotCaches>
    <pivotCache cacheId="0" r:id="rId11"/>
    <pivotCache cacheId="1" r:id="rId12"/>
    <pivotCache cacheId="2" r:id="rId13"/>
    <pivotCache cacheId="3" r:id="rId14"/>
  </pivotCaches>
</workbook>
</file>

<file path=xl/calcChain.xml><?xml version="1.0" encoding="utf-8"?>
<calcChain xmlns="http://schemas.openxmlformats.org/spreadsheetml/2006/main">
  <c r="T103" i="11" l="1"/>
  <c r="T84" i="11"/>
  <c r="T79" i="11"/>
  <c r="T76" i="11"/>
  <c r="T73" i="11"/>
  <c r="T70" i="11"/>
  <c r="T62" i="11"/>
  <c r="T57" i="11"/>
  <c r="T52" i="11"/>
  <c r="T47" i="11"/>
  <c r="T44" i="11"/>
  <c r="T26" i="11"/>
  <c r="T22" i="11"/>
  <c r="T16" i="11"/>
  <c r="S70" i="11"/>
  <c r="S62" i="11"/>
  <c r="S44" i="11"/>
  <c r="S22" i="11"/>
  <c r="S16" i="11"/>
  <c r="AJ106" i="11" l="1"/>
  <c r="AJ103" i="11"/>
  <c r="AJ79" i="11"/>
  <c r="AJ76" i="11"/>
  <c r="AJ73" i="11"/>
  <c r="AJ70" i="11"/>
  <c r="AJ62" i="11"/>
  <c r="AJ57" i="11"/>
  <c r="AJ52" i="11"/>
  <c r="AJ44" i="11"/>
  <c r="AJ16" i="11"/>
  <c r="AG108" i="11" l="1"/>
  <c r="W108" i="11"/>
  <c r="AI67" i="11" l="1"/>
  <c r="AI68" i="11"/>
  <c r="AH67" i="11"/>
  <c r="AH68" i="11"/>
  <c r="AI29" i="11"/>
  <c r="AI32" i="11"/>
  <c r="AI33" i="11"/>
  <c r="AI35" i="11"/>
  <c r="AI38" i="11"/>
  <c r="AI39" i="11"/>
  <c r="AI41" i="11"/>
  <c r="AI42" i="11"/>
  <c r="AH29" i="11"/>
  <c r="AH32" i="11"/>
  <c r="AH33" i="11"/>
  <c r="AH35" i="11"/>
  <c r="AH38" i="11"/>
  <c r="AH39" i="11"/>
  <c r="AH41" i="11"/>
  <c r="AH42" i="11"/>
  <c r="AI11" i="11"/>
  <c r="AI15" i="11"/>
  <c r="AI7" i="11"/>
  <c r="AH11" i="11"/>
  <c r="AH15" i="11"/>
  <c r="AH7" i="11"/>
  <c r="AC105" i="11" l="1"/>
  <c r="AC97" i="11"/>
  <c r="AC98" i="11"/>
  <c r="AC99" i="11"/>
  <c r="AC100" i="11"/>
  <c r="AC101" i="11"/>
  <c r="AC102" i="11"/>
  <c r="AC96" i="11"/>
  <c r="AC78" i="11"/>
  <c r="AC75" i="11"/>
  <c r="AC72" i="11"/>
  <c r="AC66" i="11"/>
  <c r="AC69" i="11"/>
  <c r="AC65" i="11"/>
  <c r="AC60" i="11"/>
  <c r="AC61" i="11"/>
  <c r="AC59" i="11"/>
  <c r="AC55" i="11"/>
  <c r="AC56" i="11"/>
  <c r="AC54" i="11"/>
  <c r="AC51" i="11"/>
  <c r="AC30" i="11"/>
  <c r="AC31" i="11"/>
  <c r="AC34" i="11"/>
  <c r="AC36" i="11"/>
  <c r="AC37" i="11"/>
  <c r="AC40" i="11"/>
  <c r="AC43" i="11"/>
  <c r="AC28" i="11"/>
  <c r="AC9" i="11"/>
  <c r="AC10" i="11"/>
  <c r="AC12" i="11"/>
  <c r="AC13" i="11"/>
  <c r="AC14" i="11"/>
  <c r="AC8" i="11"/>
  <c r="S50" i="11"/>
  <c r="Y83" i="11"/>
  <c r="X83" i="11"/>
  <c r="Y67" i="11"/>
  <c r="X67" i="11"/>
  <c r="Y47" i="11" l="1"/>
  <c r="Y44" i="11"/>
  <c r="Y26" i="11"/>
  <c r="S105" i="11"/>
  <c r="S97" i="11"/>
  <c r="S99" i="11"/>
  <c r="S101" i="11"/>
  <c r="S102" i="11"/>
  <c r="S96" i="11"/>
  <c r="S93" i="11"/>
  <c r="S90" i="11"/>
  <c r="S87" i="11"/>
  <c r="S83" i="11"/>
  <c r="S81" i="11"/>
  <c r="S66" i="11"/>
  <c r="S69" i="11"/>
  <c r="S65" i="11"/>
  <c r="S60" i="11"/>
  <c r="S61" i="11"/>
  <c r="S59" i="11"/>
  <c r="S55" i="11"/>
  <c r="S56" i="11"/>
  <c r="S54" i="11"/>
  <c r="S46" i="11"/>
  <c r="S30" i="11"/>
  <c r="S31" i="11"/>
  <c r="S34" i="11"/>
  <c r="S36" i="11"/>
  <c r="S39" i="11"/>
  <c r="S40" i="11"/>
  <c r="S43" i="11"/>
  <c r="S19" i="11"/>
  <c r="S20" i="11"/>
  <c r="S21" i="11"/>
  <c r="S18" i="11"/>
  <c r="S11" i="11"/>
  <c r="S12" i="11"/>
  <c r="S13" i="11"/>
  <c r="S14" i="11"/>
  <c r="S8" i="11"/>
  <c r="S9" i="11"/>
  <c r="S7" i="11"/>
  <c r="B114" i="11" l="1"/>
  <c r="B116" i="11" s="1"/>
  <c r="AG106" i="11"/>
  <c r="AE106" i="11"/>
  <c r="W106" i="11"/>
  <c r="I106" i="11"/>
  <c r="H106" i="11"/>
  <c r="G106" i="11"/>
  <c r="F106" i="11"/>
  <c r="E106" i="11"/>
  <c r="D106" i="11"/>
  <c r="C106" i="11"/>
  <c r="AF105" i="11"/>
  <c r="AC106" i="11"/>
  <c r="V105" i="11"/>
  <c r="V106" i="11" s="1"/>
  <c r="S106" i="11"/>
  <c r="N105" i="11"/>
  <c r="N106" i="11" s="1"/>
  <c r="M105" i="11"/>
  <c r="M106" i="11" s="1"/>
  <c r="K105" i="11"/>
  <c r="K106" i="11" s="1"/>
  <c r="J105" i="11"/>
  <c r="J106" i="11" s="1"/>
  <c r="AE103" i="11"/>
  <c r="AG103" i="11" s="1"/>
  <c r="U103" i="11"/>
  <c r="W103" i="11" s="1"/>
  <c r="I103" i="11"/>
  <c r="H103" i="11"/>
  <c r="G103" i="11"/>
  <c r="F103" i="11"/>
  <c r="E103" i="11"/>
  <c r="D103" i="11"/>
  <c r="C103" i="11"/>
  <c r="AF102" i="11"/>
  <c r="V102" i="11"/>
  <c r="N102" i="11"/>
  <c r="M102" i="11"/>
  <c r="O102" i="11" s="1"/>
  <c r="AA102" i="11" s="1"/>
  <c r="K102" i="11"/>
  <c r="J102" i="11"/>
  <c r="AF101" i="11"/>
  <c r="V101" i="11"/>
  <c r="N101" i="11"/>
  <c r="M101" i="11"/>
  <c r="K101" i="11"/>
  <c r="J101" i="11"/>
  <c r="AF100" i="11"/>
  <c r="V100" i="11"/>
  <c r="N100" i="11"/>
  <c r="M100" i="11"/>
  <c r="K100" i="11"/>
  <c r="J100" i="11"/>
  <c r="AF99" i="11"/>
  <c r="V99" i="11"/>
  <c r="N99" i="11"/>
  <c r="M99" i="11"/>
  <c r="K99" i="11"/>
  <c r="J99" i="11"/>
  <c r="AF98" i="11"/>
  <c r="V98" i="11"/>
  <c r="N98" i="11"/>
  <c r="M98" i="11"/>
  <c r="K98" i="11"/>
  <c r="J98" i="11"/>
  <c r="AF97" i="11"/>
  <c r="V97" i="11"/>
  <c r="N97" i="11"/>
  <c r="M97" i="11"/>
  <c r="K97" i="11"/>
  <c r="J97" i="11"/>
  <c r="AF96" i="11"/>
  <c r="V96" i="11"/>
  <c r="V103" i="11" s="1"/>
  <c r="N96" i="11"/>
  <c r="M96" i="11"/>
  <c r="K96" i="11"/>
  <c r="J96" i="11"/>
  <c r="L96" i="11" s="1"/>
  <c r="Q96" i="11" s="1"/>
  <c r="V94" i="11"/>
  <c r="U94" i="11"/>
  <c r="W94" i="11" s="1"/>
  <c r="O94" i="11"/>
  <c r="N94" i="11"/>
  <c r="M94" i="11"/>
  <c r="I94" i="11"/>
  <c r="E94" i="11"/>
  <c r="D94" i="11"/>
  <c r="C94" i="11"/>
  <c r="V93" i="11"/>
  <c r="S94" i="11"/>
  <c r="K93" i="11"/>
  <c r="K94" i="11" s="1"/>
  <c r="J93" i="11"/>
  <c r="W91" i="11"/>
  <c r="O91" i="11"/>
  <c r="N91" i="11"/>
  <c r="M91" i="11"/>
  <c r="I91" i="11"/>
  <c r="E91" i="11"/>
  <c r="D91" i="11"/>
  <c r="C91" i="11"/>
  <c r="V90" i="11"/>
  <c r="V91" i="11" s="1"/>
  <c r="S91" i="11"/>
  <c r="K90" i="11"/>
  <c r="K91" i="11" s="1"/>
  <c r="J90" i="11"/>
  <c r="J91" i="11" s="1"/>
  <c r="U88" i="11"/>
  <c r="W88" i="11" s="1"/>
  <c r="O88" i="11"/>
  <c r="N88" i="11"/>
  <c r="M88" i="11"/>
  <c r="I88" i="11"/>
  <c r="E88" i="11"/>
  <c r="D88" i="11"/>
  <c r="C88" i="11"/>
  <c r="V87" i="11"/>
  <c r="V88" i="11" s="1"/>
  <c r="S88" i="11"/>
  <c r="K87" i="11"/>
  <c r="K88" i="11" s="1"/>
  <c r="J87" i="11"/>
  <c r="J88" i="11" s="1"/>
  <c r="U84" i="11"/>
  <c r="W84" i="11" s="1"/>
  <c r="O84" i="11"/>
  <c r="N84" i="11"/>
  <c r="M84" i="11"/>
  <c r="I84" i="11"/>
  <c r="E84" i="11"/>
  <c r="D84" i="11"/>
  <c r="C84" i="11"/>
  <c r="V83" i="11"/>
  <c r="K83" i="11"/>
  <c r="J83" i="11"/>
  <c r="V82" i="11"/>
  <c r="K82" i="11"/>
  <c r="J82" i="11"/>
  <c r="V81" i="11"/>
  <c r="K81" i="11"/>
  <c r="J81" i="11"/>
  <c r="AE79" i="11"/>
  <c r="AG79" i="11" s="1"/>
  <c r="W79" i="11"/>
  <c r="S79" i="11"/>
  <c r="J79" i="11"/>
  <c r="I79" i="11"/>
  <c r="H79" i="11"/>
  <c r="G79" i="11"/>
  <c r="F79" i="11"/>
  <c r="E79" i="11"/>
  <c r="D79" i="11"/>
  <c r="C79" i="11"/>
  <c r="AF78" i="11"/>
  <c r="AF79" i="11" s="1"/>
  <c r="AC79" i="11"/>
  <c r="V78" i="11"/>
  <c r="N78" i="11"/>
  <c r="N79" i="11" s="1"/>
  <c r="M78" i="11"/>
  <c r="M79" i="11" s="1"/>
  <c r="K78" i="11"/>
  <c r="K79" i="11" s="1"/>
  <c r="AE76" i="11"/>
  <c r="AG76" i="11" s="1"/>
  <c r="U76" i="11"/>
  <c r="W76" i="11" s="1"/>
  <c r="S76" i="11"/>
  <c r="I76" i="11"/>
  <c r="H76" i="11"/>
  <c r="G76" i="11"/>
  <c r="F76" i="11"/>
  <c r="E76" i="11"/>
  <c r="D76" i="11"/>
  <c r="C76" i="11"/>
  <c r="AF75" i="11"/>
  <c r="AF76" i="11" s="1"/>
  <c r="AC76" i="11"/>
  <c r="V75" i="11"/>
  <c r="V76" i="11" s="1"/>
  <c r="N75" i="11"/>
  <c r="N76" i="11" s="1"/>
  <c r="M75" i="11"/>
  <c r="M76" i="11" s="1"/>
  <c r="K75" i="11"/>
  <c r="K76" i="11" s="1"/>
  <c r="J75" i="11"/>
  <c r="J76" i="11" s="1"/>
  <c r="AE73" i="11"/>
  <c r="AG73" i="11" s="1"/>
  <c r="U73" i="11"/>
  <c r="W73" i="11" s="1"/>
  <c r="S73" i="11"/>
  <c r="I73" i="11"/>
  <c r="H73" i="11"/>
  <c r="G73" i="11"/>
  <c r="F73" i="11"/>
  <c r="E73" i="11"/>
  <c r="D73" i="11"/>
  <c r="C73" i="11"/>
  <c r="AF72" i="11"/>
  <c r="AF73" i="11" s="1"/>
  <c r="AC73" i="11"/>
  <c r="V72" i="11"/>
  <c r="V73" i="11" s="1"/>
  <c r="N72" i="11"/>
  <c r="M72" i="11"/>
  <c r="M73" i="11" s="1"/>
  <c r="K72" i="11"/>
  <c r="K73" i="11" s="1"/>
  <c r="J72" i="11"/>
  <c r="AE70" i="11"/>
  <c r="AG70" i="11" s="1"/>
  <c r="U70" i="11"/>
  <c r="W70" i="11" s="1"/>
  <c r="I70" i="11"/>
  <c r="H70" i="11"/>
  <c r="G70" i="11"/>
  <c r="F70" i="11"/>
  <c r="E70" i="11"/>
  <c r="D70" i="11"/>
  <c r="C70" i="11"/>
  <c r="AF69" i="11"/>
  <c r="V69" i="11"/>
  <c r="N69" i="11"/>
  <c r="M69" i="11"/>
  <c r="K69" i="11"/>
  <c r="J69" i="11"/>
  <c r="AF68" i="11"/>
  <c r="V68" i="11"/>
  <c r="K68" i="11"/>
  <c r="J68" i="11"/>
  <c r="AF67" i="11"/>
  <c r="V67" i="11"/>
  <c r="T67" i="11"/>
  <c r="N67" i="11"/>
  <c r="M67" i="11"/>
  <c r="AF66" i="11"/>
  <c r="V66" i="11"/>
  <c r="N66" i="11"/>
  <c r="M66" i="11"/>
  <c r="K66" i="11"/>
  <c r="J66" i="11"/>
  <c r="AF65" i="11"/>
  <c r="AF70" i="11" s="1"/>
  <c r="V65" i="11"/>
  <c r="V70" i="11" s="1"/>
  <c r="T65" i="11"/>
  <c r="X65" i="11" s="1"/>
  <c r="N65" i="11"/>
  <c r="M65" i="11"/>
  <c r="AG62" i="11"/>
  <c r="W62" i="11"/>
  <c r="U62" i="11"/>
  <c r="I62" i="11"/>
  <c r="H62" i="11"/>
  <c r="G62" i="11"/>
  <c r="F62" i="11"/>
  <c r="E62" i="11"/>
  <c r="D62" i="11"/>
  <c r="C62" i="11"/>
  <c r="AF61" i="11"/>
  <c r="V61" i="11"/>
  <c r="N61" i="11"/>
  <c r="M61" i="11"/>
  <c r="K61" i="11"/>
  <c r="J61" i="11"/>
  <c r="V60" i="11"/>
  <c r="N60" i="11"/>
  <c r="M60" i="11"/>
  <c r="K60" i="11"/>
  <c r="L60" i="11" s="1"/>
  <c r="Q60" i="11" s="1"/>
  <c r="J60" i="11"/>
  <c r="AF59" i="11"/>
  <c r="V59" i="11"/>
  <c r="N59" i="11"/>
  <c r="M59" i="11"/>
  <c r="K59" i="11"/>
  <c r="J59" i="11"/>
  <c r="AE57" i="11"/>
  <c r="AG57" i="11" s="1"/>
  <c r="W57" i="11"/>
  <c r="U57" i="11"/>
  <c r="I57" i="11"/>
  <c r="H57" i="11"/>
  <c r="G57" i="11"/>
  <c r="F57" i="11"/>
  <c r="E57" i="11"/>
  <c r="D57" i="11"/>
  <c r="C57" i="11"/>
  <c r="AF56" i="11"/>
  <c r="V56" i="11"/>
  <c r="N56" i="11"/>
  <c r="M56" i="11"/>
  <c r="K56" i="11"/>
  <c r="J56" i="11"/>
  <c r="AF55" i="11"/>
  <c r="V55" i="11"/>
  <c r="N55" i="11"/>
  <c r="M55" i="11"/>
  <c r="K55" i="11"/>
  <c r="J55" i="11"/>
  <c r="AF54" i="11"/>
  <c r="AF57" i="11" s="1"/>
  <c r="AC57" i="11"/>
  <c r="V54" i="11"/>
  <c r="V57" i="11" s="1"/>
  <c r="N54" i="11"/>
  <c r="M54" i="11"/>
  <c r="M57" i="11" s="1"/>
  <c r="K54" i="11"/>
  <c r="J54" i="11"/>
  <c r="AF52" i="11"/>
  <c r="AE52" i="11"/>
  <c r="AG52" i="11" s="1"/>
  <c r="U52" i="11"/>
  <c r="W52" i="11" s="1"/>
  <c r="I52" i="11"/>
  <c r="H52" i="11"/>
  <c r="G52" i="11"/>
  <c r="F52" i="11"/>
  <c r="E52" i="11"/>
  <c r="D52" i="11"/>
  <c r="C52" i="11"/>
  <c r="AF51" i="11"/>
  <c r="AC52" i="11"/>
  <c r="V51" i="11"/>
  <c r="Q51" i="11"/>
  <c r="N51" i="11"/>
  <c r="N52" i="11" s="1"/>
  <c r="M51" i="11"/>
  <c r="M52" i="11" s="1"/>
  <c r="AF50" i="11"/>
  <c r="V50" i="11"/>
  <c r="S52" i="11"/>
  <c r="K50" i="11"/>
  <c r="J50" i="11"/>
  <c r="AF49" i="11"/>
  <c r="V49" i="11"/>
  <c r="K49" i="11"/>
  <c r="J49" i="11"/>
  <c r="AE47" i="11"/>
  <c r="AG47" i="11" s="1"/>
  <c r="U47" i="11"/>
  <c r="W47" i="11" s="1"/>
  <c r="I47" i="11"/>
  <c r="H47" i="11"/>
  <c r="G47" i="11"/>
  <c r="F47" i="11"/>
  <c r="E47" i="11"/>
  <c r="D47" i="11"/>
  <c r="C47" i="11"/>
  <c r="AF46" i="11"/>
  <c r="AF47" i="11" s="1"/>
  <c r="AC47" i="11"/>
  <c r="V46" i="11"/>
  <c r="V47" i="11" s="1"/>
  <c r="S47" i="11"/>
  <c r="N46" i="11"/>
  <c r="N47" i="11" s="1"/>
  <c r="M46" i="11"/>
  <c r="M47" i="11" s="1"/>
  <c r="K46" i="11"/>
  <c r="J46" i="11"/>
  <c r="J47" i="11" s="1"/>
  <c r="AE44" i="11"/>
  <c r="AG44" i="11" s="1"/>
  <c r="U44" i="11"/>
  <c r="W44" i="11" s="1"/>
  <c r="I44" i="11"/>
  <c r="H44" i="11"/>
  <c r="G44" i="11"/>
  <c r="F44" i="11"/>
  <c r="E44" i="11"/>
  <c r="D44" i="11"/>
  <c r="C44" i="11"/>
  <c r="AF43" i="11"/>
  <c r="V43" i="11"/>
  <c r="N43" i="11"/>
  <c r="M43" i="11"/>
  <c r="K43" i="11"/>
  <c r="J43" i="11"/>
  <c r="AF42" i="11"/>
  <c r="AA42" i="11"/>
  <c r="V42" i="11"/>
  <c r="N42" i="11"/>
  <c r="M42" i="11"/>
  <c r="K42" i="11"/>
  <c r="J42" i="11"/>
  <c r="AF41" i="11"/>
  <c r="AA41" i="11"/>
  <c r="V41" i="11"/>
  <c r="K41" i="11"/>
  <c r="J41" i="11"/>
  <c r="AF40" i="11"/>
  <c r="V40" i="11"/>
  <c r="M40" i="11"/>
  <c r="O40" i="11" s="1"/>
  <c r="AA40" i="11" s="1"/>
  <c r="K40" i="11"/>
  <c r="L40" i="11" s="1"/>
  <c r="J40" i="11"/>
  <c r="AF39" i="11"/>
  <c r="AA39" i="11"/>
  <c r="V39" i="11"/>
  <c r="K39" i="11"/>
  <c r="L39" i="11" s="1"/>
  <c r="J39" i="11"/>
  <c r="AF38" i="11"/>
  <c r="AA38" i="11"/>
  <c r="V38" i="11"/>
  <c r="K38" i="11"/>
  <c r="J38" i="11"/>
  <c r="AF37" i="11"/>
  <c r="V37" i="11"/>
  <c r="N37" i="11"/>
  <c r="M37" i="11"/>
  <c r="K37" i="11"/>
  <c r="J37" i="11"/>
  <c r="AF36" i="11"/>
  <c r="V36" i="11"/>
  <c r="N36" i="11"/>
  <c r="M36" i="11"/>
  <c r="K36" i="11"/>
  <c r="J36" i="11"/>
  <c r="AF35" i="11"/>
  <c r="AA35" i="11"/>
  <c r="V35" i="11"/>
  <c r="K35" i="11"/>
  <c r="J35" i="11"/>
  <c r="AF34" i="11"/>
  <c r="V34" i="11"/>
  <c r="N34" i="11"/>
  <c r="M34" i="11"/>
  <c r="K34" i="11"/>
  <c r="J34" i="11"/>
  <c r="AF33" i="11"/>
  <c r="AA33" i="11"/>
  <c r="V33" i="11"/>
  <c r="K33" i="11"/>
  <c r="J33" i="11"/>
  <c r="AF32" i="11"/>
  <c r="V32" i="11"/>
  <c r="N32" i="11"/>
  <c r="M32" i="11"/>
  <c r="K32" i="11"/>
  <c r="J32" i="11"/>
  <c r="AF31" i="11"/>
  <c r="V31" i="11"/>
  <c r="N31" i="11"/>
  <c r="M31" i="11"/>
  <c r="K31" i="11"/>
  <c r="J31" i="11"/>
  <c r="AF30" i="11"/>
  <c r="V30" i="11"/>
  <c r="N30" i="11"/>
  <c r="M30" i="11"/>
  <c r="K30" i="11"/>
  <c r="J30" i="11"/>
  <c r="V29" i="11"/>
  <c r="K29" i="11"/>
  <c r="J29" i="11"/>
  <c r="AF28" i="11"/>
  <c r="V28" i="11"/>
  <c r="N28" i="11"/>
  <c r="M28" i="11"/>
  <c r="K28" i="11"/>
  <c r="J28" i="11"/>
  <c r="U26" i="11"/>
  <c r="W26" i="11" s="1"/>
  <c r="S26" i="11"/>
  <c r="O26" i="11"/>
  <c r="N26" i="11"/>
  <c r="M26" i="11"/>
  <c r="I26" i="11"/>
  <c r="E26" i="11"/>
  <c r="D26" i="11"/>
  <c r="C26" i="11"/>
  <c r="V25" i="11"/>
  <c r="V26" i="11" s="1"/>
  <c r="K25" i="11"/>
  <c r="K26" i="11" s="1"/>
  <c r="J25" i="11"/>
  <c r="J26" i="11" s="1"/>
  <c r="U22" i="11"/>
  <c r="W22" i="11" s="1"/>
  <c r="O22" i="11"/>
  <c r="N22" i="11"/>
  <c r="M22" i="11"/>
  <c r="I22" i="11"/>
  <c r="E22" i="11"/>
  <c r="D22" i="11"/>
  <c r="C22" i="11"/>
  <c r="V21" i="11"/>
  <c r="K21" i="11"/>
  <c r="J21" i="11"/>
  <c r="V20" i="11"/>
  <c r="K20" i="11"/>
  <c r="J20" i="11"/>
  <c r="V19" i="11"/>
  <c r="K19" i="11"/>
  <c r="J19" i="11"/>
  <c r="V18" i="11"/>
  <c r="K18" i="11"/>
  <c r="J18" i="11"/>
  <c r="AG16" i="11"/>
  <c r="AE16" i="11"/>
  <c r="W16" i="11"/>
  <c r="I16" i="11"/>
  <c r="H16" i="11"/>
  <c r="G16" i="11"/>
  <c r="F16" i="11"/>
  <c r="E16" i="11"/>
  <c r="D16" i="11"/>
  <c r="C16" i="11"/>
  <c r="AF15" i="11"/>
  <c r="V15" i="11"/>
  <c r="K15" i="11"/>
  <c r="J15" i="11"/>
  <c r="AF14" i="11"/>
  <c r="V14" i="11"/>
  <c r="N14" i="11"/>
  <c r="M14" i="11"/>
  <c r="K14" i="11"/>
  <c r="J14" i="11"/>
  <c r="AF13" i="11"/>
  <c r="V13" i="11"/>
  <c r="N13" i="11"/>
  <c r="M13" i="11"/>
  <c r="K13" i="11"/>
  <c r="J13" i="11"/>
  <c r="L13" i="11" s="1"/>
  <c r="Q13" i="11" s="1"/>
  <c r="AF12" i="11"/>
  <c r="V12" i="11"/>
  <c r="N12" i="11"/>
  <c r="M12" i="11"/>
  <c r="K12" i="11"/>
  <c r="J12" i="11"/>
  <c r="AF11" i="11"/>
  <c r="V11" i="11"/>
  <c r="O11" i="11"/>
  <c r="AA11" i="11" s="1"/>
  <c r="N11" i="11"/>
  <c r="M11" i="11"/>
  <c r="K11" i="11"/>
  <c r="J11" i="11"/>
  <c r="AF10" i="11"/>
  <c r="V10" i="11"/>
  <c r="N10" i="11"/>
  <c r="M10" i="11"/>
  <c r="K10" i="11"/>
  <c r="J10" i="11"/>
  <c r="AF9" i="11"/>
  <c r="V9" i="11"/>
  <c r="N9" i="11"/>
  <c r="M9" i="11"/>
  <c r="K9" i="11"/>
  <c r="J9" i="11"/>
  <c r="AF8" i="11"/>
  <c r="V8" i="11"/>
  <c r="N8" i="11"/>
  <c r="M8" i="11"/>
  <c r="K8" i="11"/>
  <c r="J8" i="11"/>
  <c r="AF7" i="11"/>
  <c r="V7" i="11"/>
  <c r="K7" i="11"/>
  <c r="J7" i="11"/>
  <c r="B123" i="11"/>
  <c r="Y65" i="11" l="1"/>
  <c r="O9" i="11"/>
  <c r="AA9" i="11" s="1"/>
  <c r="L11" i="11"/>
  <c r="L42" i="11"/>
  <c r="L46" i="11"/>
  <c r="N62" i="11"/>
  <c r="AF103" i="11"/>
  <c r="L98" i="11"/>
  <c r="V22" i="11"/>
  <c r="V62" i="11"/>
  <c r="N103" i="11"/>
  <c r="L7" i="11"/>
  <c r="O10" i="11"/>
  <c r="AA10" i="11" s="1"/>
  <c r="K22" i="11"/>
  <c r="J84" i="11"/>
  <c r="V84" i="11"/>
  <c r="O101" i="11"/>
  <c r="AA101" i="11" s="1"/>
  <c r="O69" i="11"/>
  <c r="AA69" i="11" s="1"/>
  <c r="O100" i="11"/>
  <c r="AA100" i="11" s="1"/>
  <c r="N16" i="11"/>
  <c r="L9" i="11"/>
  <c r="Q9" i="11" s="1"/>
  <c r="L10" i="11"/>
  <c r="P10" i="11" s="1"/>
  <c r="O55" i="11"/>
  <c r="AA55" i="11" s="1"/>
  <c r="L82" i="11"/>
  <c r="Q82" i="11" s="1"/>
  <c r="O98" i="11"/>
  <c r="AA98" i="11" s="1"/>
  <c r="L19" i="11"/>
  <c r="P19" i="11" s="1"/>
  <c r="L20" i="11"/>
  <c r="Q20" i="11" s="1"/>
  <c r="L41" i="11"/>
  <c r="P41" i="11" s="1"/>
  <c r="L43" i="11"/>
  <c r="L33" i="11"/>
  <c r="Q33" i="11" s="1"/>
  <c r="O36" i="11"/>
  <c r="AA36" i="11" s="1"/>
  <c r="L38" i="11"/>
  <c r="Q38" i="11" s="1"/>
  <c r="P40" i="11"/>
  <c r="L54" i="11"/>
  <c r="L68" i="11"/>
  <c r="P68" i="11" s="1"/>
  <c r="L69" i="11"/>
  <c r="O37" i="11"/>
  <c r="AA37" i="11" s="1"/>
  <c r="O66" i="11"/>
  <c r="AA66" i="11" s="1"/>
  <c r="L101" i="11"/>
  <c r="Q101" i="11" s="1"/>
  <c r="O34" i="11"/>
  <c r="AA34" i="11" s="1"/>
  <c r="O60" i="11"/>
  <c r="AA60" i="11" s="1"/>
  <c r="O32" i="11"/>
  <c r="AA32" i="11" s="1"/>
  <c r="O67" i="11"/>
  <c r="P67" i="11" s="1"/>
  <c r="O13" i="11"/>
  <c r="AA13" i="11" s="1"/>
  <c r="O14" i="11"/>
  <c r="AA14" i="11" s="1"/>
  <c r="L21" i="11"/>
  <c r="Q21" i="11" s="1"/>
  <c r="O28" i="11"/>
  <c r="AA28" i="11" s="1"/>
  <c r="L30" i="11"/>
  <c r="L31" i="11"/>
  <c r="L93" i="11"/>
  <c r="L94" i="11" s="1"/>
  <c r="Q94" i="11" s="1"/>
  <c r="O96" i="11"/>
  <c r="P96" i="11" s="1"/>
  <c r="O97" i="11"/>
  <c r="AA97" i="11" s="1"/>
  <c r="Q43" i="11"/>
  <c r="L12" i="11"/>
  <c r="Q12" i="11" s="1"/>
  <c r="O51" i="11"/>
  <c r="P51" i="11" s="1"/>
  <c r="L66" i="11"/>
  <c r="Q66" i="11" s="1"/>
  <c r="K84" i="11"/>
  <c r="AC103" i="11"/>
  <c r="K62" i="11"/>
  <c r="O12" i="11"/>
  <c r="AA12" i="11" s="1"/>
  <c r="L25" i="11"/>
  <c r="Q25" i="11" s="1"/>
  <c r="N44" i="11"/>
  <c r="L29" i="11"/>
  <c r="P29" i="11" s="1"/>
  <c r="L32" i="11"/>
  <c r="L34" i="11"/>
  <c r="Q34" i="11" s="1"/>
  <c r="O43" i="11"/>
  <c r="AA43" i="11" s="1"/>
  <c r="O46" i="11"/>
  <c r="AA46" i="11" s="1"/>
  <c r="AA47" i="11" s="1"/>
  <c r="O56" i="11"/>
  <c r="AA56" i="11" s="1"/>
  <c r="AC62" i="11"/>
  <c r="O61" i="11"/>
  <c r="AA61" i="11" s="1"/>
  <c r="AC70" i="11"/>
  <c r="L78" i="11"/>
  <c r="L79" i="11" s="1"/>
  <c r="Q79" i="11" s="1"/>
  <c r="S84" i="11"/>
  <c r="J103" i="11"/>
  <c r="O99" i="11"/>
  <c r="AA99" i="11" s="1"/>
  <c r="L102" i="11"/>
  <c r="Q102" i="11" s="1"/>
  <c r="S108" i="11"/>
  <c r="L8" i="11"/>
  <c r="L14" i="11"/>
  <c r="J22" i="11"/>
  <c r="J44" i="11"/>
  <c r="O30" i="11"/>
  <c r="AA30" i="11" s="1"/>
  <c r="L35" i="11"/>
  <c r="Q35" i="11" s="1"/>
  <c r="L37" i="11"/>
  <c r="S57" i="11"/>
  <c r="L56" i="11"/>
  <c r="Q56" i="11" s="1"/>
  <c r="L59" i="11"/>
  <c r="Q59" i="11" s="1"/>
  <c r="L61" i="11"/>
  <c r="N70" i="11"/>
  <c r="L83" i="11"/>
  <c r="P83" i="11" s="1"/>
  <c r="L90" i="11"/>
  <c r="K103" i="11"/>
  <c r="S103" i="11"/>
  <c r="L97" i="11"/>
  <c r="Q97" i="11" s="1"/>
  <c r="L99" i="11"/>
  <c r="Q99" i="11" s="1"/>
  <c r="L100" i="11"/>
  <c r="Q100" i="11" s="1"/>
  <c r="B125" i="11"/>
  <c r="B127" i="11" s="1"/>
  <c r="Q14" i="11"/>
  <c r="Q30" i="11"/>
  <c r="Q31" i="11"/>
  <c r="M16" i="11"/>
  <c r="O8" i="11"/>
  <c r="Q10" i="11"/>
  <c r="AF16" i="11"/>
  <c r="AC16" i="11"/>
  <c r="Q19" i="11"/>
  <c r="Q32" i="11"/>
  <c r="Q7" i="11"/>
  <c r="P7" i="11"/>
  <c r="V16" i="11"/>
  <c r="K16" i="11"/>
  <c r="Q11" i="11"/>
  <c r="P11" i="11"/>
  <c r="P13" i="11"/>
  <c r="L15" i="11"/>
  <c r="J16" i="11"/>
  <c r="K47" i="11"/>
  <c r="K52" i="11"/>
  <c r="L49" i="11"/>
  <c r="L50" i="11"/>
  <c r="J52" i="11"/>
  <c r="O52" i="11"/>
  <c r="M62" i="11"/>
  <c r="O59" i="11"/>
  <c r="P82" i="11"/>
  <c r="Q98" i="11"/>
  <c r="K44" i="11"/>
  <c r="AC44" i="11"/>
  <c r="L36" i="11"/>
  <c r="Q40" i="11"/>
  <c r="Q41" i="11"/>
  <c r="J57" i="11"/>
  <c r="Q69" i="11"/>
  <c r="P69" i="11"/>
  <c r="L26" i="11"/>
  <c r="Q26" i="11" s="1"/>
  <c r="Q46" i="11"/>
  <c r="L47" i="11"/>
  <c r="Q47" i="11" s="1"/>
  <c r="L18" i="11"/>
  <c r="L28" i="11"/>
  <c r="V44" i="11"/>
  <c r="P37" i="11"/>
  <c r="Q37" i="11"/>
  <c r="Q39" i="11"/>
  <c r="P39" i="11"/>
  <c r="Q42" i="11"/>
  <c r="P42" i="11"/>
  <c r="V52" i="11"/>
  <c r="N57" i="11"/>
  <c r="Q61" i="11"/>
  <c r="Q68" i="11"/>
  <c r="N73" i="11"/>
  <c r="O72" i="11"/>
  <c r="M44" i="11"/>
  <c r="AF44" i="11"/>
  <c r="O31" i="11"/>
  <c r="AA31" i="11" s="1"/>
  <c r="K57" i="11"/>
  <c r="L55" i="11"/>
  <c r="J62" i="11"/>
  <c r="M70" i="11"/>
  <c r="O65" i="11"/>
  <c r="AA67" i="11"/>
  <c r="J70" i="11"/>
  <c r="J73" i="11"/>
  <c r="L72" i="11"/>
  <c r="Q93" i="11"/>
  <c r="AA96" i="11"/>
  <c r="K70" i="11"/>
  <c r="O54" i="11"/>
  <c r="Q83" i="11"/>
  <c r="P100" i="11"/>
  <c r="P101" i="11"/>
  <c r="O75" i="11"/>
  <c r="L81" i="11"/>
  <c r="L87" i="11"/>
  <c r="J94" i="11"/>
  <c r="O105" i="11"/>
  <c r="L75" i="11"/>
  <c r="M103" i="11"/>
  <c r="L105" i="11"/>
  <c r="O78" i="11"/>
  <c r="P78" i="11" s="1"/>
  <c r="P79" i="11" s="1"/>
  <c r="AB76" i="1"/>
  <c r="AB60" i="1"/>
  <c r="AB57" i="1"/>
  <c r="AB47" i="1"/>
  <c r="AB44" i="1"/>
  <c r="U76" i="1"/>
  <c r="U57" i="1"/>
  <c r="U44" i="1"/>
  <c r="P102" i="11" l="1"/>
  <c r="Q29" i="11"/>
  <c r="Q78" i="11"/>
  <c r="P97" i="11"/>
  <c r="P38" i="11"/>
  <c r="P20" i="11"/>
  <c r="P33" i="11"/>
  <c r="L62" i="11"/>
  <c r="Q62" i="11" s="1"/>
  <c r="O47" i="11"/>
  <c r="P25" i="11"/>
  <c r="P26" i="11" s="1"/>
  <c r="AA51" i="11"/>
  <c r="L16" i="11"/>
  <c r="P34" i="11"/>
  <c r="P9" i="11"/>
  <c r="P14" i="11"/>
  <c r="L103" i="11"/>
  <c r="Q103" i="11" s="1"/>
  <c r="L70" i="11"/>
  <c r="Q70" i="11" s="1"/>
  <c r="P60" i="11"/>
  <c r="P98" i="11"/>
  <c r="P8" i="11"/>
  <c r="L57" i="11"/>
  <c r="Q57" i="11" s="1"/>
  <c r="P66" i="11"/>
  <c r="Q54" i="11"/>
  <c r="P21" i="11"/>
  <c r="P12" i="11"/>
  <c r="P61" i="11"/>
  <c r="P93" i="11"/>
  <c r="P94" i="11" s="1"/>
  <c r="P32" i="11"/>
  <c r="P56" i="11"/>
  <c r="P99" i="11"/>
  <c r="P103" i="11" s="1"/>
  <c r="O103" i="11"/>
  <c r="N108" i="11"/>
  <c r="P35" i="11"/>
  <c r="P46" i="11"/>
  <c r="P47" i="11" s="1"/>
  <c r="P59" i="11"/>
  <c r="O44" i="11"/>
  <c r="P31" i="11"/>
  <c r="Q8" i="11"/>
  <c r="Q90" i="11"/>
  <c r="L91" i="11"/>
  <c r="Q91" i="11" s="1"/>
  <c r="P90" i="11"/>
  <c r="P91" i="11" s="1"/>
  <c r="P43" i="11"/>
  <c r="P30" i="11"/>
  <c r="Q16" i="11"/>
  <c r="Q75" i="11"/>
  <c r="P75" i="11"/>
  <c r="P76" i="11" s="1"/>
  <c r="L76" i="11"/>
  <c r="Q76" i="11" s="1"/>
  <c r="AA103" i="11"/>
  <c r="P65" i="11"/>
  <c r="P70" i="11" s="1"/>
  <c r="AA65" i="11"/>
  <c r="O70" i="11"/>
  <c r="O79" i="11"/>
  <c r="AA78" i="11"/>
  <c r="AA105" i="11"/>
  <c r="O106" i="11"/>
  <c r="Q87" i="11"/>
  <c r="L88" i="11"/>
  <c r="Q88" i="11" s="1"/>
  <c r="P87" i="11"/>
  <c r="P88" i="11" s="1"/>
  <c r="AA54" i="11"/>
  <c r="O57" i="11"/>
  <c r="P54" i="11"/>
  <c r="Q55" i="11"/>
  <c r="P55" i="11"/>
  <c r="P36" i="11"/>
  <c r="Q36" i="11"/>
  <c r="O62" i="11"/>
  <c r="AA59" i="11"/>
  <c r="AA44" i="11"/>
  <c r="O16" i="11"/>
  <c r="AA8" i="11"/>
  <c r="Q28" i="11"/>
  <c r="P28" i="11"/>
  <c r="L44" i="11"/>
  <c r="Q44" i="11" s="1"/>
  <c r="P50" i="11"/>
  <c r="Q50" i="11"/>
  <c r="P15" i="11"/>
  <c r="P16" i="11" s="1"/>
  <c r="Q15" i="11"/>
  <c r="M108" i="11"/>
  <c r="L84" i="11"/>
  <c r="Q84" i="11" s="1"/>
  <c r="Q81" i="11"/>
  <c r="P81" i="11"/>
  <c r="P84" i="11" s="1"/>
  <c r="AA52" i="11"/>
  <c r="Q105" i="11"/>
  <c r="L106" i="11"/>
  <c r="Q106" i="11" s="1"/>
  <c r="P105" i="11"/>
  <c r="P106" i="11" s="1"/>
  <c r="Q72" i="11"/>
  <c r="P72" i="11"/>
  <c r="P73" i="11" s="1"/>
  <c r="L73" i="11"/>
  <c r="Q73" i="11" s="1"/>
  <c r="AA72" i="11"/>
  <c r="O73" i="11"/>
  <c r="P18" i="11"/>
  <c r="L22" i="11"/>
  <c r="Q22" i="11" s="1"/>
  <c r="Q18" i="11"/>
  <c r="L52" i="11"/>
  <c r="Q52" i="11" s="1"/>
  <c r="Q49" i="11"/>
  <c r="P49" i="11"/>
  <c r="O76" i="11"/>
  <c r="AA75" i="11"/>
  <c r="AC108" i="11"/>
  <c r="B117" i="11" s="1"/>
  <c r="B118" i="11" s="1"/>
  <c r="U26" i="1"/>
  <c r="W26" i="1" s="1"/>
  <c r="P22" i="11" l="1"/>
  <c r="P57" i="11"/>
  <c r="P62" i="11"/>
  <c r="AA73" i="11"/>
  <c r="AA16" i="11"/>
  <c r="AA62" i="11"/>
  <c r="P44" i="11"/>
  <c r="O108" i="11"/>
  <c r="AA57" i="11"/>
  <c r="AA79" i="11"/>
  <c r="AA70" i="11"/>
  <c r="Q108" i="11"/>
  <c r="AA76" i="11"/>
  <c r="P52" i="11"/>
  <c r="AA106" i="11"/>
  <c r="L108" i="11"/>
  <c r="B129" i="11" s="1"/>
  <c r="R105" i="11" s="1"/>
  <c r="K40" i="1"/>
  <c r="P108" i="11" l="1"/>
  <c r="R81" i="11"/>
  <c r="T81" i="11" s="1"/>
  <c r="X81" i="11" s="1"/>
  <c r="AA108" i="11"/>
  <c r="B120" i="11" s="1"/>
  <c r="AB32" i="11" s="1"/>
  <c r="AD32" i="11" s="1"/>
  <c r="R36" i="11"/>
  <c r="T36" i="11" s="1"/>
  <c r="X36" i="11" s="1"/>
  <c r="Y36" i="11" s="1"/>
  <c r="R106" i="11"/>
  <c r="T105" i="11"/>
  <c r="AB14" i="11"/>
  <c r="AD14" i="11" s="1"/>
  <c r="AH14" i="11" s="1"/>
  <c r="AI14" i="11" s="1"/>
  <c r="R75" i="11"/>
  <c r="R55" i="11"/>
  <c r="T55" i="11" s="1"/>
  <c r="X55" i="11" s="1"/>
  <c r="Y55" i="11" s="1"/>
  <c r="R50" i="11"/>
  <c r="T50" i="11" s="1"/>
  <c r="X50" i="11" s="1"/>
  <c r="Y50" i="11" s="1"/>
  <c r="R20" i="11"/>
  <c r="T20" i="11" s="1"/>
  <c r="X20" i="11" s="1"/>
  <c r="Y20" i="11" s="1"/>
  <c r="R35" i="11"/>
  <c r="T35" i="11" s="1"/>
  <c r="X35" i="11" s="1"/>
  <c r="Y35" i="11" s="1"/>
  <c r="R60" i="11"/>
  <c r="T60" i="11" s="1"/>
  <c r="X60" i="11" s="1"/>
  <c r="Y60" i="11" s="1"/>
  <c r="R25" i="11"/>
  <c r="R12" i="11"/>
  <c r="T12" i="11" s="1"/>
  <c r="X12" i="11" s="1"/>
  <c r="Y12" i="11" s="1"/>
  <c r="R66" i="11"/>
  <c r="R96" i="11"/>
  <c r="R9" i="11"/>
  <c r="T9" i="11" s="1"/>
  <c r="X9" i="11" s="1"/>
  <c r="Y9" i="11" s="1"/>
  <c r="R13" i="11"/>
  <c r="T13" i="11" s="1"/>
  <c r="X13" i="11" s="1"/>
  <c r="Y13" i="11" s="1"/>
  <c r="R43" i="11"/>
  <c r="T43" i="11" s="1"/>
  <c r="X43" i="11" s="1"/>
  <c r="Y43" i="11" s="1"/>
  <c r="R38" i="11"/>
  <c r="T38" i="11" s="1"/>
  <c r="X38" i="11" s="1"/>
  <c r="Y38" i="11" s="1"/>
  <c r="R90" i="11"/>
  <c r="R42" i="11"/>
  <c r="T42" i="11" s="1"/>
  <c r="X42" i="11" s="1"/>
  <c r="Y42" i="11" s="1"/>
  <c r="R59" i="11"/>
  <c r="R54" i="11"/>
  <c r="R21" i="11"/>
  <c r="T21" i="11" s="1"/>
  <c r="X21" i="11" s="1"/>
  <c r="Y21" i="11" s="1"/>
  <c r="R78" i="11"/>
  <c r="R101" i="11"/>
  <c r="T101" i="11" s="1"/>
  <c r="X101" i="11" s="1"/>
  <c r="Y101" i="11" s="1"/>
  <c r="R33" i="11"/>
  <c r="T33" i="11" s="1"/>
  <c r="X33" i="11" s="1"/>
  <c r="Y33" i="11" s="1"/>
  <c r="R19" i="11"/>
  <c r="T19" i="11" s="1"/>
  <c r="X19" i="11" s="1"/>
  <c r="Y19" i="11" s="1"/>
  <c r="R31" i="11"/>
  <c r="T31" i="11" s="1"/>
  <c r="X31" i="11" s="1"/>
  <c r="Y31" i="11" s="1"/>
  <c r="R8" i="11"/>
  <c r="T8" i="11" s="1"/>
  <c r="X8" i="11" s="1"/>
  <c r="Y8" i="11" s="1"/>
  <c r="R68" i="11"/>
  <c r="T68" i="11" s="1"/>
  <c r="X68" i="11" s="1"/>
  <c r="Y68" i="11" s="1"/>
  <c r="R100" i="11"/>
  <c r="T100" i="11" s="1"/>
  <c r="X100" i="11" s="1"/>
  <c r="Y100" i="11" s="1"/>
  <c r="R83" i="11"/>
  <c r="T83" i="11" s="1"/>
  <c r="R97" i="11"/>
  <c r="T97" i="11" s="1"/>
  <c r="X97" i="11" s="1"/>
  <c r="Y97" i="11" s="1"/>
  <c r="R39" i="11"/>
  <c r="T39" i="11" s="1"/>
  <c r="X39" i="11" s="1"/>
  <c r="Y39" i="11" s="1"/>
  <c r="R11" i="11"/>
  <c r="T11" i="11" s="1"/>
  <c r="X11" i="11" s="1"/>
  <c r="Y11" i="11" s="1"/>
  <c r="R34" i="11"/>
  <c r="T34" i="11" s="1"/>
  <c r="X34" i="11" s="1"/>
  <c r="Y34" i="11" s="1"/>
  <c r="R61" i="11"/>
  <c r="T61" i="11" s="1"/>
  <c r="X61" i="11" s="1"/>
  <c r="Y61" i="11" s="1"/>
  <c r="R69" i="11"/>
  <c r="T69" i="11" s="1"/>
  <c r="X69" i="11" s="1"/>
  <c r="Y69" i="11" s="1"/>
  <c r="R32" i="11"/>
  <c r="T32" i="11" s="1"/>
  <c r="X32" i="11" s="1"/>
  <c r="Y32" i="11" s="1"/>
  <c r="R82" i="11"/>
  <c r="T82" i="11" s="1"/>
  <c r="R29" i="11"/>
  <c r="T29" i="11" s="1"/>
  <c r="X29" i="11" s="1"/>
  <c r="Y29" i="11" s="1"/>
  <c r="R46" i="11"/>
  <c r="R102" i="11"/>
  <c r="T102" i="11" s="1"/>
  <c r="X102" i="11" s="1"/>
  <c r="Y102" i="11" s="1"/>
  <c r="R93" i="11"/>
  <c r="R10" i="11"/>
  <c r="T10" i="11" s="1"/>
  <c r="X10" i="11" s="1"/>
  <c r="Y10" i="11" s="1"/>
  <c r="R40" i="11"/>
  <c r="T40" i="11" s="1"/>
  <c r="X40" i="11" s="1"/>
  <c r="Y40" i="11" s="1"/>
  <c r="R99" i="11"/>
  <c r="T99" i="11" s="1"/>
  <c r="X99" i="11" s="1"/>
  <c r="Y99" i="11" s="1"/>
  <c r="R56" i="11"/>
  <c r="T56" i="11" s="1"/>
  <c r="X56" i="11" s="1"/>
  <c r="Y56" i="11" s="1"/>
  <c r="R14" i="11"/>
  <c r="T14" i="11" s="1"/>
  <c r="X14" i="11" s="1"/>
  <c r="Y14" i="11" s="1"/>
  <c r="R41" i="11"/>
  <c r="T41" i="11" s="1"/>
  <c r="X41" i="11" s="1"/>
  <c r="Y41" i="11" s="1"/>
  <c r="R30" i="11"/>
  <c r="T30" i="11" s="1"/>
  <c r="X30" i="11" s="1"/>
  <c r="R98" i="11"/>
  <c r="T98" i="11" s="1"/>
  <c r="X98" i="11" s="1"/>
  <c r="Y98" i="11" s="1"/>
  <c r="R7" i="11"/>
  <c r="R37" i="11"/>
  <c r="T37" i="11" s="1"/>
  <c r="X37" i="11" s="1"/>
  <c r="Y37" i="11" s="1"/>
  <c r="R15" i="11"/>
  <c r="T15" i="11" s="1"/>
  <c r="X15" i="11" s="1"/>
  <c r="Y15" i="11" s="1"/>
  <c r="R18" i="11"/>
  <c r="AB78" i="11"/>
  <c r="R49" i="11"/>
  <c r="AB75" i="11"/>
  <c r="R87" i="11"/>
  <c r="R72" i="11"/>
  <c r="R28" i="11"/>
  <c r="S20" i="1"/>
  <c r="S21" i="1"/>
  <c r="S19" i="1"/>
  <c r="S18" i="1"/>
  <c r="S8" i="1"/>
  <c r="S9" i="1"/>
  <c r="S11" i="1"/>
  <c r="S12" i="1"/>
  <c r="S13" i="1"/>
  <c r="S14" i="1"/>
  <c r="S7" i="1"/>
  <c r="T106" i="11" l="1"/>
  <c r="X105" i="11"/>
  <c r="X84" i="11"/>
  <c r="Z84" i="11" s="1"/>
  <c r="Y81" i="11"/>
  <c r="Y84" i="11" s="1"/>
  <c r="Y30" i="11"/>
  <c r="AB67" i="11"/>
  <c r="AD67" i="11" s="1"/>
  <c r="AB46" i="11"/>
  <c r="AB47" i="11" s="1"/>
  <c r="AB65" i="11"/>
  <c r="AD65" i="11" s="1"/>
  <c r="AH65" i="11" s="1"/>
  <c r="AB54" i="11"/>
  <c r="AB72" i="11"/>
  <c r="AD72" i="11" s="1"/>
  <c r="AB102" i="11"/>
  <c r="AD102" i="11" s="1"/>
  <c r="AH102" i="11" s="1"/>
  <c r="AI102" i="11" s="1"/>
  <c r="AB12" i="11"/>
  <c r="AD12" i="11" s="1"/>
  <c r="AH12" i="11" s="1"/>
  <c r="AI12" i="11" s="1"/>
  <c r="AB105" i="11"/>
  <c r="AB106" i="11" s="1"/>
  <c r="AB51" i="11"/>
  <c r="AB52" i="11" s="1"/>
  <c r="AB43" i="11"/>
  <c r="AD43" i="11" s="1"/>
  <c r="AH43" i="11" s="1"/>
  <c r="AI43" i="11" s="1"/>
  <c r="AB37" i="11"/>
  <c r="AD37" i="11" s="1"/>
  <c r="AH37" i="11" s="1"/>
  <c r="AI37" i="11" s="1"/>
  <c r="AB60" i="11"/>
  <c r="AD60" i="11" s="1"/>
  <c r="AB28" i="11"/>
  <c r="AD28" i="11" s="1"/>
  <c r="AH28" i="11" s="1"/>
  <c r="AB10" i="11"/>
  <c r="AD10" i="11" s="1"/>
  <c r="AH10" i="11" s="1"/>
  <c r="AI10" i="11" s="1"/>
  <c r="AB55" i="11"/>
  <c r="AD55" i="11" s="1"/>
  <c r="AH55" i="11" s="1"/>
  <c r="AI55" i="11" s="1"/>
  <c r="AB30" i="11"/>
  <c r="AD30" i="11" s="1"/>
  <c r="AH30" i="11" s="1"/>
  <c r="AI30" i="11" s="1"/>
  <c r="AB69" i="11"/>
  <c r="AD69" i="11" s="1"/>
  <c r="AH69" i="11" s="1"/>
  <c r="AI69" i="11" s="1"/>
  <c r="AB101" i="11"/>
  <c r="AD101" i="11" s="1"/>
  <c r="AH101" i="11" s="1"/>
  <c r="AI101" i="11" s="1"/>
  <c r="AB98" i="11"/>
  <c r="AD98" i="11" s="1"/>
  <c r="AH98" i="11" s="1"/>
  <c r="AI98" i="11" s="1"/>
  <c r="AB68" i="11"/>
  <c r="AB96" i="11"/>
  <c r="AB13" i="11"/>
  <c r="AD13" i="11" s="1"/>
  <c r="AH13" i="11" s="1"/>
  <c r="AI13" i="11" s="1"/>
  <c r="AB42" i="11"/>
  <c r="AD42" i="11" s="1"/>
  <c r="AB36" i="11"/>
  <c r="AD36" i="11" s="1"/>
  <c r="AH36" i="11" s="1"/>
  <c r="AI36" i="11" s="1"/>
  <c r="AB35" i="11"/>
  <c r="AD35" i="11" s="1"/>
  <c r="AB9" i="11"/>
  <c r="AD9" i="11" s="1"/>
  <c r="AH9" i="11" s="1"/>
  <c r="AI9" i="11" s="1"/>
  <c r="AB97" i="11"/>
  <c r="AD97" i="11" s="1"/>
  <c r="AH97" i="11" s="1"/>
  <c r="AI97" i="11" s="1"/>
  <c r="AB66" i="11"/>
  <c r="AD66" i="11" s="1"/>
  <c r="AH66" i="11" s="1"/>
  <c r="AI66" i="11" s="1"/>
  <c r="AB59" i="11"/>
  <c r="AB8" i="11"/>
  <c r="AD8" i="11" s="1"/>
  <c r="AH8" i="11" s="1"/>
  <c r="AB31" i="11"/>
  <c r="AD31" i="11" s="1"/>
  <c r="AH31" i="11" s="1"/>
  <c r="AI31" i="11" s="1"/>
  <c r="AB100" i="11"/>
  <c r="AD100" i="11" s="1"/>
  <c r="AH100" i="11" s="1"/>
  <c r="AI100" i="11" s="1"/>
  <c r="AB99" i="11"/>
  <c r="AD99" i="11" s="1"/>
  <c r="AH99" i="11" s="1"/>
  <c r="AI99" i="11" s="1"/>
  <c r="AB61" i="11"/>
  <c r="AD61" i="11" s="1"/>
  <c r="AH61" i="11" s="1"/>
  <c r="AI61" i="11" s="1"/>
  <c r="AB56" i="11"/>
  <c r="AD56" i="11" s="1"/>
  <c r="AH56" i="11" s="1"/>
  <c r="AI56" i="11" s="1"/>
  <c r="AB34" i="11"/>
  <c r="AD34" i="11" s="1"/>
  <c r="AH34" i="11" s="1"/>
  <c r="AI34" i="11" s="1"/>
  <c r="AB40" i="11"/>
  <c r="AD40" i="11" s="1"/>
  <c r="AH40" i="11" s="1"/>
  <c r="AI40" i="11" s="1"/>
  <c r="T18" i="11"/>
  <c r="R22" i="11"/>
  <c r="R88" i="11"/>
  <c r="T87" i="11"/>
  <c r="R73" i="11"/>
  <c r="T72" i="11"/>
  <c r="AD105" i="11"/>
  <c r="T7" i="11"/>
  <c r="R16" i="11"/>
  <c r="T59" i="11"/>
  <c r="R62" i="11"/>
  <c r="R70" i="11"/>
  <c r="T66" i="11"/>
  <c r="AD54" i="11"/>
  <c r="AH54" i="11" s="1"/>
  <c r="T93" i="11"/>
  <c r="R94" i="11"/>
  <c r="T78" i="11"/>
  <c r="X78" i="11" s="1"/>
  <c r="R79" i="11"/>
  <c r="R52" i="11"/>
  <c r="T49" i="11"/>
  <c r="X49" i="11" s="1"/>
  <c r="R91" i="11"/>
  <c r="T90" i="11"/>
  <c r="R26" i="11"/>
  <c r="T25" i="11"/>
  <c r="R84" i="11"/>
  <c r="R44" i="11"/>
  <c r="T28" i="11"/>
  <c r="AD75" i="11"/>
  <c r="AB76" i="11"/>
  <c r="AD78" i="11"/>
  <c r="AB79" i="11"/>
  <c r="R47" i="11"/>
  <c r="T46" i="11"/>
  <c r="X46" i="11" s="1"/>
  <c r="R57" i="11"/>
  <c r="T54" i="11"/>
  <c r="R103" i="11"/>
  <c r="T96" i="11"/>
  <c r="R76" i="11"/>
  <c r="T75" i="11"/>
  <c r="X75" i="11" s="1"/>
  <c r="S26" i="1"/>
  <c r="S105" i="1"/>
  <c r="S97" i="1"/>
  <c r="S99" i="1"/>
  <c r="S101" i="1"/>
  <c r="S102" i="1"/>
  <c r="S96" i="1"/>
  <c r="S93" i="1"/>
  <c r="S90" i="1"/>
  <c r="S87" i="1"/>
  <c r="S83" i="1"/>
  <c r="S81" i="1"/>
  <c r="S66" i="1"/>
  <c r="S69" i="1"/>
  <c r="S60" i="1"/>
  <c r="S61" i="1"/>
  <c r="S59" i="1"/>
  <c r="S55" i="1"/>
  <c r="S56" i="1"/>
  <c r="S54" i="1"/>
  <c r="S50" i="1"/>
  <c r="S46" i="1"/>
  <c r="S30" i="1"/>
  <c r="S31" i="1"/>
  <c r="S34" i="1"/>
  <c r="S39" i="1"/>
  <c r="S40" i="1"/>
  <c r="S43" i="1"/>
  <c r="B123" i="1"/>
  <c r="AD76" i="11" l="1"/>
  <c r="AH75" i="11"/>
  <c r="AD79" i="11"/>
  <c r="AH78" i="11"/>
  <c r="AD106" i="11"/>
  <c r="AH105" i="11"/>
  <c r="X25" i="11"/>
  <c r="X28" i="11"/>
  <c r="X72" i="11"/>
  <c r="X79" i="11"/>
  <c r="Z79" i="11" s="1"/>
  <c r="Y78" i="11"/>
  <c r="Y79" i="11" s="1"/>
  <c r="Y75" i="11"/>
  <c r="Y76" i="11" s="1"/>
  <c r="X76" i="11"/>
  <c r="Z76" i="11" s="1"/>
  <c r="AE60" i="11"/>
  <c r="AF60" i="11" s="1"/>
  <c r="AF62" i="11" s="1"/>
  <c r="AF108" i="11" s="1"/>
  <c r="AH60" i="11"/>
  <c r="AI60" i="11" s="1"/>
  <c r="AH16" i="11"/>
  <c r="AI8" i="11"/>
  <c r="AI16" i="11" s="1"/>
  <c r="X106" i="11"/>
  <c r="Z106" i="11" s="1"/>
  <c r="Y105" i="11"/>
  <c r="Y106" i="11" s="1"/>
  <c r="AH44" i="11"/>
  <c r="AI28" i="11"/>
  <c r="AI44" i="11" s="1"/>
  <c r="AD73" i="11"/>
  <c r="AH72" i="11"/>
  <c r="AH57" i="11"/>
  <c r="AI54" i="11"/>
  <c r="AI57" i="11" s="1"/>
  <c r="AI65" i="11"/>
  <c r="AH70" i="11"/>
  <c r="AI70" i="11" s="1"/>
  <c r="X47" i="11"/>
  <c r="Z47" i="11" s="1"/>
  <c r="Y46" i="11"/>
  <c r="X18" i="11"/>
  <c r="T88" i="11"/>
  <c r="X87" i="11"/>
  <c r="X54" i="11"/>
  <c r="T94" i="11"/>
  <c r="X93" i="11"/>
  <c r="X96" i="11"/>
  <c r="X66" i="11"/>
  <c r="T91" i="11"/>
  <c r="X90" i="11"/>
  <c r="X59" i="11"/>
  <c r="X7" i="11"/>
  <c r="AD51" i="11"/>
  <c r="AD46" i="11"/>
  <c r="AB73" i="11"/>
  <c r="AD70" i="11"/>
  <c r="AB16" i="11"/>
  <c r="AD57" i="11"/>
  <c r="AB57" i="11"/>
  <c r="AD16" i="11"/>
  <c r="AB62" i="11"/>
  <c r="AB103" i="11"/>
  <c r="AB70" i="11"/>
  <c r="AD96" i="11"/>
  <c r="AD44" i="11"/>
  <c r="AD59" i="11"/>
  <c r="AB44" i="11"/>
  <c r="R108" i="11"/>
  <c r="Z105" i="1"/>
  <c r="Z97" i="1"/>
  <c r="Z98" i="1"/>
  <c r="Z99" i="1"/>
  <c r="Z100" i="1"/>
  <c r="Z101" i="1"/>
  <c r="Z102" i="1"/>
  <c r="Z96" i="1"/>
  <c r="Z75" i="1"/>
  <c r="Z66" i="1"/>
  <c r="Z69" i="1"/>
  <c r="Z65" i="1"/>
  <c r="Z60" i="1"/>
  <c r="Z61" i="1"/>
  <c r="Z59" i="1"/>
  <c r="Z30" i="1"/>
  <c r="Z31" i="1"/>
  <c r="Z34" i="1"/>
  <c r="Z36" i="1"/>
  <c r="Z37" i="1"/>
  <c r="Z40" i="1"/>
  <c r="Z43" i="1"/>
  <c r="Z28" i="1"/>
  <c r="Z9" i="1"/>
  <c r="Z10" i="1"/>
  <c r="Z12" i="1"/>
  <c r="Z13" i="1"/>
  <c r="Z14" i="1"/>
  <c r="AH79" i="11" l="1"/>
  <c r="AI78" i="11"/>
  <c r="AI79" i="11" s="1"/>
  <c r="AD103" i="11"/>
  <c r="AH96" i="11"/>
  <c r="AH106" i="11"/>
  <c r="AI105" i="11"/>
  <c r="AI106" i="11" s="1"/>
  <c r="AI75" i="11"/>
  <c r="AI76" i="11" s="1"/>
  <c r="AH76" i="11"/>
  <c r="Y28" i="11"/>
  <c r="X44" i="11"/>
  <c r="Z44" i="11" s="1"/>
  <c r="X73" i="11"/>
  <c r="Z73" i="11" s="1"/>
  <c r="Y72" i="11"/>
  <c r="Y73" i="11" s="1"/>
  <c r="X26" i="11"/>
  <c r="Z26" i="11" s="1"/>
  <c r="Y25" i="11"/>
  <c r="AH73" i="11"/>
  <c r="AI72" i="11"/>
  <c r="AI73" i="11" s="1"/>
  <c r="AD52" i="11"/>
  <c r="AH51" i="11"/>
  <c r="AD62" i="11"/>
  <c r="AH59" i="11"/>
  <c r="AD47" i="11"/>
  <c r="AH46" i="11"/>
  <c r="Y49" i="11"/>
  <c r="Y52" i="11" s="1"/>
  <c r="X52" i="11"/>
  <c r="Z52" i="11" s="1"/>
  <c r="Y66" i="11"/>
  <c r="Y70" i="11" s="1"/>
  <c r="X70" i="11"/>
  <c r="Z70" i="11" s="1"/>
  <c r="X94" i="11"/>
  <c r="Z94" i="11" s="1"/>
  <c r="Y93" i="11"/>
  <c r="Y94" i="11" s="1"/>
  <c r="X88" i="11"/>
  <c r="Z88" i="11" s="1"/>
  <c r="Y87" i="11"/>
  <c r="Y88" i="11" s="1"/>
  <c r="X16" i="11"/>
  <c r="Z16" i="11" s="1"/>
  <c r="Z108" i="11" s="1"/>
  <c r="Y7" i="11"/>
  <c r="Y16" i="11" s="1"/>
  <c r="X91" i="11"/>
  <c r="Z91" i="11" s="1"/>
  <c r="Y90" i="11"/>
  <c r="Y91" i="11" s="1"/>
  <c r="X103" i="11"/>
  <c r="Z103" i="11" s="1"/>
  <c r="Y96" i="11"/>
  <c r="Y103" i="11" s="1"/>
  <c r="X57" i="11"/>
  <c r="Z57" i="11" s="1"/>
  <c r="Y54" i="11"/>
  <c r="Y57" i="11" s="1"/>
  <c r="Y18" i="11"/>
  <c r="Y22" i="11" s="1"/>
  <c r="X22" i="11"/>
  <c r="Z22" i="11" s="1"/>
  <c r="T108" i="11"/>
  <c r="X62" i="11"/>
  <c r="Z62" i="11" s="1"/>
  <c r="Y59" i="11"/>
  <c r="Y62" i="11" s="1"/>
  <c r="AB108" i="11"/>
  <c r="AC68" i="1"/>
  <c r="AC50" i="1"/>
  <c r="AC49" i="1"/>
  <c r="AC33" i="1"/>
  <c r="AC38" i="1"/>
  <c r="AC39" i="1"/>
  <c r="AC41" i="1"/>
  <c r="AC11" i="1"/>
  <c r="AC15" i="1"/>
  <c r="AC7" i="1"/>
  <c r="Z62" i="1"/>
  <c r="Y108" i="11" l="1"/>
  <c r="AD108" i="11"/>
  <c r="AI96" i="11"/>
  <c r="AI103" i="11" s="1"/>
  <c r="AH103" i="11"/>
  <c r="AH47" i="11"/>
  <c r="AJ47" i="11" s="1"/>
  <c r="AI46" i="11"/>
  <c r="AI47" i="11" s="1"/>
  <c r="AH52" i="11"/>
  <c r="AI51" i="11"/>
  <c r="AI52" i="11" s="1"/>
  <c r="AH62" i="11"/>
  <c r="AI59" i="11"/>
  <c r="AI62" i="11" s="1"/>
  <c r="Z106" i="1"/>
  <c r="Z78" i="1"/>
  <c r="Z79" i="1" s="1"/>
  <c r="Z76" i="1"/>
  <c r="Z72" i="1"/>
  <c r="Z73" i="1" s="1"/>
  <c r="Z46" i="1"/>
  <c r="Z47" i="1" s="1"/>
  <c r="Z55" i="1"/>
  <c r="Z56" i="1"/>
  <c r="Z54" i="1"/>
  <c r="AI108" i="11" l="1"/>
  <c r="Z103" i="1"/>
  <c r="Z57" i="1"/>
  <c r="Z70" i="1"/>
  <c r="Z51" i="1"/>
  <c r="Z52" i="1" s="1"/>
  <c r="Z8" i="1"/>
  <c r="X33" i="1"/>
  <c r="X35" i="1"/>
  <c r="X38" i="1"/>
  <c r="X39" i="1"/>
  <c r="X41" i="1"/>
  <c r="X42" i="1"/>
  <c r="N105" i="1"/>
  <c r="N97" i="1"/>
  <c r="N98" i="1"/>
  <c r="N99" i="1"/>
  <c r="N100" i="1"/>
  <c r="N101" i="1"/>
  <c r="N102" i="1"/>
  <c r="N96" i="1"/>
  <c r="N78" i="1"/>
  <c r="N75" i="1"/>
  <c r="N72" i="1"/>
  <c r="N66" i="1"/>
  <c r="N67" i="1"/>
  <c r="N69" i="1"/>
  <c r="N65" i="1"/>
  <c r="N60" i="1"/>
  <c r="N61" i="1"/>
  <c r="N59" i="1"/>
  <c r="N55" i="1"/>
  <c r="N56" i="1"/>
  <c r="N54" i="1"/>
  <c r="N51" i="1"/>
  <c r="N46" i="1"/>
  <c r="N30" i="1"/>
  <c r="N31" i="1"/>
  <c r="N32" i="1"/>
  <c r="N34" i="1"/>
  <c r="N36" i="1"/>
  <c r="N37" i="1"/>
  <c r="N42" i="1"/>
  <c r="N43" i="1"/>
  <c r="N28" i="1"/>
  <c r="N9" i="1"/>
  <c r="N10" i="1"/>
  <c r="N11" i="1"/>
  <c r="N12" i="1"/>
  <c r="N13" i="1"/>
  <c r="N14" i="1"/>
  <c r="N8" i="1"/>
  <c r="B114" i="1"/>
  <c r="B116" i="1" s="1"/>
  <c r="W79" i="1"/>
  <c r="W76" i="1"/>
  <c r="T67" i="1"/>
  <c r="S106" i="1"/>
  <c r="S79" i="1"/>
  <c r="S76" i="1"/>
  <c r="T65" i="1"/>
  <c r="S47" i="1"/>
  <c r="Q51" i="1"/>
  <c r="D106" i="1"/>
  <c r="E106" i="1"/>
  <c r="F106" i="1"/>
  <c r="G106" i="1"/>
  <c r="H106" i="1"/>
  <c r="I106" i="1"/>
  <c r="C106" i="1"/>
  <c r="D103" i="1"/>
  <c r="E103" i="1"/>
  <c r="F103" i="1"/>
  <c r="G103" i="1"/>
  <c r="H103" i="1"/>
  <c r="I103" i="1"/>
  <c r="C103" i="1"/>
  <c r="D94" i="1"/>
  <c r="E94" i="1"/>
  <c r="I94" i="1"/>
  <c r="C94" i="1"/>
  <c r="D91" i="1"/>
  <c r="E91" i="1"/>
  <c r="I91" i="1"/>
  <c r="C91" i="1"/>
  <c r="D88" i="1"/>
  <c r="E88" i="1"/>
  <c r="I88" i="1"/>
  <c r="C88" i="1"/>
  <c r="D84" i="1"/>
  <c r="E84" i="1"/>
  <c r="I84" i="1"/>
  <c r="C84" i="1"/>
  <c r="D79" i="1"/>
  <c r="E79" i="1"/>
  <c r="F79" i="1"/>
  <c r="G79" i="1"/>
  <c r="H79" i="1"/>
  <c r="I79" i="1"/>
  <c r="C79" i="1"/>
  <c r="D76" i="1"/>
  <c r="E76" i="1"/>
  <c r="F76" i="1"/>
  <c r="G76" i="1"/>
  <c r="H76" i="1"/>
  <c r="I76" i="1"/>
  <c r="C76" i="1"/>
  <c r="D73" i="1"/>
  <c r="E73" i="1"/>
  <c r="F73" i="1"/>
  <c r="G73" i="1"/>
  <c r="H73" i="1"/>
  <c r="I73" i="1"/>
  <c r="C73" i="1"/>
  <c r="D70" i="1"/>
  <c r="E70" i="1"/>
  <c r="F70" i="1"/>
  <c r="G70" i="1"/>
  <c r="H70" i="1"/>
  <c r="I70" i="1"/>
  <c r="C70" i="1"/>
  <c r="D57" i="1"/>
  <c r="E57" i="1"/>
  <c r="F57" i="1"/>
  <c r="G57" i="1"/>
  <c r="H57" i="1"/>
  <c r="I57" i="1"/>
  <c r="C57" i="1"/>
  <c r="D62" i="1"/>
  <c r="E62" i="1"/>
  <c r="F62" i="1"/>
  <c r="G62" i="1"/>
  <c r="H62" i="1"/>
  <c r="I62" i="1"/>
  <c r="C62" i="1"/>
  <c r="D52" i="1"/>
  <c r="E52" i="1"/>
  <c r="F52" i="1"/>
  <c r="G52" i="1"/>
  <c r="H52" i="1"/>
  <c r="I52" i="1"/>
  <c r="C52" i="1"/>
  <c r="D47" i="1"/>
  <c r="E47" i="1"/>
  <c r="F47" i="1"/>
  <c r="G47" i="1"/>
  <c r="H47" i="1"/>
  <c r="I47" i="1"/>
  <c r="C47" i="1"/>
  <c r="D44" i="1"/>
  <c r="E44" i="1"/>
  <c r="F44" i="1"/>
  <c r="G44" i="1"/>
  <c r="H44" i="1"/>
  <c r="I44" i="1"/>
  <c r="C44" i="1"/>
  <c r="D26" i="1"/>
  <c r="E26" i="1"/>
  <c r="I26" i="1"/>
  <c r="C26" i="1"/>
  <c r="D22" i="1"/>
  <c r="E22" i="1"/>
  <c r="I22" i="1"/>
  <c r="C22" i="1"/>
  <c r="D16" i="1"/>
  <c r="E16" i="1"/>
  <c r="F16" i="1"/>
  <c r="G16" i="1"/>
  <c r="H16" i="1"/>
  <c r="I16" i="1"/>
  <c r="C16" i="1"/>
  <c r="J7" i="1"/>
  <c r="J8" i="1"/>
  <c r="J9" i="1"/>
  <c r="J10" i="1"/>
  <c r="Z16" i="1" l="1"/>
  <c r="Z44" i="1"/>
  <c r="S16" i="1"/>
  <c r="S103" i="1"/>
  <c r="S84" i="1"/>
  <c r="B125" i="1"/>
  <c r="B127" i="1" s="1"/>
  <c r="M9" i="1"/>
  <c r="M10" i="1"/>
  <c r="M11" i="1"/>
  <c r="M12" i="1"/>
  <c r="J11" i="1"/>
  <c r="J12" i="1"/>
  <c r="J13" i="1"/>
  <c r="J14" i="1"/>
  <c r="J15" i="1"/>
  <c r="K11" i="1"/>
  <c r="O11" i="1"/>
  <c r="X11" i="1" s="1"/>
  <c r="Z108" i="1" l="1"/>
  <c r="B117" i="1" s="1"/>
  <c r="L11" i="1"/>
  <c r="Q11" i="1" s="1"/>
  <c r="V67" i="1"/>
  <c r="V65" i="1"/>
  <c r="P11" i="1" l="1"/>
  <c r="M51" i="1"/>
  <c r="O51" i="1" l="1"/>
  <c r="X51" i="1" s="1"/>
  <c r="M26" i="1"/>
  <c r="N26" i="1"/>
  <c r="O26" i="1"/>
  <c r="M52" i="1"/>
  <c r="N52" i="1"/>
  <c r="P51" i="1" l="1"/>
  <c r="X52" i="1"/>
  <c r="O52" i="1"/>
  <c r="M94" i="1"/>
  <c r="N94" i="1"/>
  <c r="O94" i="1"/>
  <c r="S94" i="1"/>
  <c r="M91" i="1"/>
  <c r="N91" i="1"/>
  <c r="O91" i="1"/>
  <c r="S91" i="1"/>
  <c r="S88" i="1"/>
  <c r="M88" i="1"/>
  <c r="N88" i="1"/>
  <c r="O88" i="1"/>
  <c r="M84" i="1"/>
  <c r="N84" i="1"/>
  <c r="O84" i="1"/>
  <c r="S73" i="1"/>
  <c r="S70" i="1"/>
  <c r="S62" i="1"/>
  <c r="S57" i="1"/>
  <c r="S52" i="1"/>
  <c r="S44" i="1"/>
  <c r="M22" i="1"/>
  <c r="N22" i="1"/>
  <c r="O22" i="1"/>
  <c r="S22" i="1"/>
  <c r="N106" i="1"/>
  <c r="N79" i="1"/>
  <c r="N76" i="1"/>
  <c r="N73" i="1"/>
  <c r="N47" i="1"/>
  <c r="M105" i="1"/>
  <c r="O105" i="1" s="1"/>
  <c r="X105" i="1" s="1"/>
  <c r="X106" i="1" s="1"/>
  <c r="M97" i="1"/>
  <c r="O97" i="1" s="1"/>
  <c r="X97" i="1" s="1"/>
  <c r="M98" i="1"/>
  <c r="M99" i="1"/>
  <c r="O99" i="1" s="1"/>
  <c r="X99" i="1" s="1"/>
  <c r="M100" i="1"/>
  <c r="M101" i="1"/>
  <c r="O101" i="1" s="1"/>
  <c r="X101" i="1" s="1"/>
  <c r="M102" i="1"/>
  <c r="M96" i="1"/>
  <c r="M78" i="1"/>
  <c r="O78" i="1" s="1"/>
  <c r="X78" i="1" s="1"/>
  <c r="X79" i="1" s="1"/>
  <c r="M75" i="1"/>
  <c r="M72" i="1"/>
  <c r="O72" i="1" s="1"/>
  <c r="X72" i="1" s="1"/>
  <c r="X73" i="1" s="1"/>
  <c r="M67" i="1"/>
  <c r="M66" i="1"/>
  <c r="M69" i="1"/>
  <c r="M65" i="1"/>
  <c r="O65" i="1" s="1"/>
  <c r="X65" i="1" s="1"/>
  <c r="M61" i="1"/>
  <c r="M59" i="1"/>
  <c r="M60" i="1"/>
  <c r="M55" i="1"/>
  <c r="O55" i="1" s="1"/>
  <c r="X55" i="1" s="1"/>
  <c r="M56" i="1"/>
  <c r="O56" i="1" s="1"/>
  <c r="X56" i="1" s="1"/>
  <c r="M54" i="1"/>
  <c r="O54" i="1" s="1"/>
  <c r="X54" i="1" s="1"/>
  <c r="M46" i="1"/>
  <c r="M43" i="1"/>
  <c r="O43" i="1" s="1"/>
  <c r="X43" i="1" s="1"/>
  <c r="M30" i="1"/>
  <c r="O30" i="1" s="1"/>
  <c r="X30" i="1" s="1"/>
  <c r="M31" i="1"/>
  <c r="M32" i="1"/>
  <c r="M34" i="1"/>
  <c r="M36" i="1"/>
  <c r="O36" i="1" s="1"/>
  <c r="X36" i="1" s="1"/>
  <c r="M37" i="1"/>
  <c r="M40" i="1"/>
  <c r="M42" i="1"/>
  <c r="M28" i="1"/>
  <c r="O28" i="1" s="1"/>
  <c r="X28" i="1" s="1"/>
  <c r="O9" i="1"/>
  <c r="X9" i="1" s="1"/>
  <c r="O10" i="1"/>
  <c r="X10" i="1" s="1"/>
  <c r="O12" i="1"/>
  <c r="X12" i="1" s="1"/>
  <c r="M13" i="1"/>
  <c r="O13" i="1" s="1"/>
  <c r="X13" i="1" s="1"/>
  <c r="M14" i="1"/>
  <c r="O14" i="1" s="1"/>
  <c r="X14" i="1" s="1"/>
  <c r="M8" i="1"/>
  <c r="S108" i="1" l="1"/>
  <c r="O96" i="1"/>
  <c r="X96" i="1" s="1"/>
  <c r="O100" i="1"/>
  <c r="X100" i="1" s="1"/>
  <c r="O60" i="1"/>
  <c r="X60" i="1" s="1"/>
  <c r="X57" i="1"/>
  <c r="O69" i="1"/>
  <c r="X69" i="1" s="1"/>
  <c r="O75" i="1"/>
  <c r="X75" i="1" s="1"/>
  <c r="X76" i="1" s="1"/>
  <c r="O102" i="1"/>
  <c r="X102" i="1" s="1"/>
  <c r="O98" i="1"/>
  <c r="X98" i="1" s="1"/>
  <c r="P65" i="1"/>
  <c r="O8" i="1"/>
  <c r="M16" i="1"/>
  <c r="O61" i="1"/>
  <c r="X61" i="1" s="1"/>
  <c r="O67" i="1"/>
  <c r="O40" i="1"/>
  <c r="X40" i="1" s="1"/>
  <c r="O32" i="1"/>
  <c r="X32" i="1" s="1"/>
  <c r="N57" i="1"/>
  <c r="N103" i="1"/>
  <c r="O34" i="1"/>
  <c r="X34" i="1" s="1"/>
  <c r="N70" i="1"/>
  <c r="O37" i="1"/>
  <c r="X37" i="1" s="1"/>
  <c r="O31" i="1"/>
  <c r="X31" i="1" s="1"/>
  <c r="O66" i="1"/>
  <c r="N44" i="1"/>
  <c r="N62" i="1"/>
  <c r="O57" i="1"/>
  <c r="M70" i="1"/>
  <c r="M76" i="1"/>
  <c r="M103" i="1"/>
  <c r="M47" i="1"/>
  <c r="O46" i="1"/>
  <c r="X46" i="1" s="1"/>
  <c r="O79" i="1"/>
  <c r="O106" i="1"/>
  <c r="M62" i="1"/>
  <c r="O59" i="1"/>
  <c r="X59" i="1" s="1"/>
  <c r="M73" i="1"/>
  <c r="M79" i="1"/>
  <c r="M106" i="1"/>
  <c r="O73" i="1"/>
  <c r="N16" i="1"/>
  <c r="M57" i="1"/>
  <c r="M44" i="1"/>
  <c r="K105" i="1"/>
  <c r="K106" i="1" s="1"/>
  <c r="K97" i="1"/>
  <c r="K98" i="1"/>
  <c r="K99" i="1"/>
  <c r="K100" i="1"/>
  <c r="K101" i="1"/>
  <c r="K102" i="1"/>
  <c r="K96" i="1"/>
  <c r="K93" i="1"/>
  <c r="K94" i="1" s="1"/>
  <c r="K90" i="1"/>
  <c r="K91" i="1" s="1"/>
  <c r="K87" i="1"/>
  <c r="K88" i="1" s="1"/>
  <c r="K82" i="1"/>
  <c r="K83" i="1"/>
  <c r="K81" i="1"/>
  <c r="K78" i="1"/>
  <c r="K79" i="1" s="1"/>
  <c r="K75" i="1"/>
  <c r="K76" i="1" s="1"/>
  <c r="K72" i="1"/>
  <c r="K73" i="1" s="1"/>
  <c r="K68" i="1"/>
  <c r="K69" i="1"/>
  <c r="K66" i="1"/>
  <c r="K60" i="1"/>
  <c r="K61" i="1"/>
  <c r="K59" i="1"/>
  <c r="K55" i="1"/>
  <c r="K56" i="1"/>
  <c r="K54" i="1"/>
  <c r="K50" i="1"/>
  <c r="K49" i="1"/>
  <c r="K46" i="1"/>
  <c r="K29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28" i="1"/>
  <c r="K25" i="1"/>
  <c r="K26" i="1" s="1"/>
  <c r="K19" i="1"/>
  <c r="K20" i="1"/>
  <c r="K21" i="1"/>
  <c r="K18" i="1"/>
  <c r="K8" i="1"/>
  <c r="L8" i="1" s="1"/>
  <c r="Q8" i="1" s="1"/>
  <c r="K9" i="1"/>
  <c r="L9" i="1" s="1"/>
  <c r="Q9" i="1" s="1"/>
  <c r="K10" i="1"/>
  <c r="L10" i="1" s="1"/>
  <c r="Q10" i="1" s="1"/>
  <c r="K12" i="1"/>
  <c r="L12" i="1" s="1"/>
  <c r="Q12" i="1" s="1"/>
  <c r="K13" i="1"/>
  <c r="L13" i="1" s="1"/>
  <c r="Q13" i="1" s="1"/>
  <c r="K14" i="1"/>
  <c r="L14" i="1" s="1"/>
  <c r="Q14" i="1" s="1"/>
  <c r="K15" i="1"/>
  <c r="L15" i="1" s="1"/>
  <c r="Q15" i="1" s="1"/>
  <c r="K7" i="1"/>
  <c r="J105" i="1"/>
  <c r="J93" i="1"/>
  <c r="D71" i="3"/>
  <c r="E71" i="3"/>
  <c r="F71" i="3"/>
  <c r="G71" i="3"/>
  <c r="H71" i="3"/>
  <c r="J50" i="1"/>
  <c r="J49" i="1"/>
  <c r="F72" i="3"/>
  <c r="G72" i="3"/>
  <c r="H72" i="3"/>
  <c r="E72" i="3"/>
  <c r="D72" i="3"/>
  <c r="B72" i="3"/>
  <c r="B71" i="3"/>
  <c r="E65" i="3"/>
  <c r="F65" i="3"/>
  <c r="G65" i="3"/>
  <c r="H65" i="3"/>
  <c r="D65" i="3"/>
  <c r="B65" i="3"/>
  <c r="J46" i="1"/>
  <c r="J47" i="1" s="1"/>
  <c r="J40" i="1"/>
  <c r="J18" i="1"/>
  <c r="J19" i="1"/>
  <c r="J20" i="1"/>
  <c r="J21" i="1"/>
  <c r="J25" i="1"/>
  <c r="J28" i="1"/>
  <c r="J29" i="1"/>
  <c r="J30" i="1"/>
  <c r="L30" i="1" s="1"/>
  <c r="Q30" i="1" s="1"/>
  <c r="J31" i="1"/>
  <c r="L31" i="1" s="1"/>
  <c r="Q31" i="1" s="1"/>
  <c r="J32" i="1"/>
  <c r="J33" i="1"/>
  <c r="J34" i="1"/>
  <c r="L34" i="1" s="1"/>
  <c r="Q34" i="1" s="1"/>
  <c r="J35" i="1"/>
  <c r="L35" i="1" s="1"/>
  <c r="Q35" i="1" s="1"/>
  <c r="J36" i="1"/>
  <c r="J37" i="1"/>
  <c r="J38" i="1"/>
  <c r="L38" i="1" s="1"/>
  <c r="Q38" i="1" s="1"/>
  <c r="J39" i="1"/>
  <c r="L39" i="1" s="1"/>
  <c r="Q39" i="1" s="1"/>
  <c r="J41" i="1"/>
  <c r="J42" i="1"/>
  <c r="J43" i="1"/>
  <c r="J54" i="1"/>
  <c r="J55" i="1"/>
  <c r="J56" i="1"/>
  <c r="J59" i="1"/>
  <c r="L59" i="1" s="1"/>
  <c r="Q59" i="1" s="1"/>
  <c r="J60" i="1"/>
  <c r="J61" i="1"/>
  <c r="J66" i="1"/>
  <c r="J68" i="1"/>
  <c r="J69" i="1"/>
  <c r="J72" i="1"/>
  <c r="J75" i="1"/>
  <c r="J81" i="1"/>
  <c r="J82" i="1"/>
  <c r="J83" i="1"/>
  <c r="J87" i="1"/>
  <c r="J90" i="1"/>
  <c r="J96" i="1"/>
  <c r="J97" i="1"/>
  <c r="J98" i="1"/>
  <c r="J99" i="1"/>
  <c r="J100" i="1"/>
  <c r="J101" i="1"/>
  <c r="J102" i="1"/>
  <c r="L60" i="1" l="1"/>
  <c r="Q60" i="1" s="1"/>
  <c r="N108" i="1"/>
  <c r="M108" i="1"/>
  <c r="X47" i="1"/>
  <c r="X8" i="1"/>
  <c r="X16" i="1" s="1"/>
  <c r="X103" i="1"/>
  <c r="L54" i="1"/>
  <c r="Q54" i="1" s="1"/>
  <c r="L81" i="1"/>
  <c r="Q81" i="1" s="1"/>
  <c r="L102" i="1"/>
  <c r="Q102" i="1" s="1"/>
  <c r="L98" i="1"/>
  <c r="Q98" i="1" s="1"/>
  <c r="L37" i="1"/>
  <c r="Q37" i="1" s="1"/>
  <c r="L33" i="1"/>
  <c r="Q33" i="1" s="1"/>
  <c r="L29" i="1"/>
  <c r="Q29" i="1" s="1"/>
  <c r="O16" i="1"/>
  <c r="L101" i="1"/>
  <c r="Q101" i="1" s="1"/>
  <c r="L97" i="1"/>
  <c r="Q97" i="1" s="1"/>
  <c r="L83" i="1"/>
  <c r="Q83" i="1" s="1"/>
  <c r="L36" i="1"/>
  <c r="Q36" i="1" s="1"/>
  <c r="L32" i="1"/>
  <c r="Q32" i="1" s="1"/>
  <c r="L28" i="1"/>
  <c r="Q28" i="1" s="1"/>
  <c r="O76" i="1"/>
  <c r="L21" i="1"/>
  <c r="Q21" i="1" s="1"/>
  <c r="O103" i="1"/>
  <c r="L56" i="1"/>
  <c r="Q56" i="1" s="1"/>
  <c r="X44" i="1"/>
  <c r="L100" i="1"/>
  <c r="Q100" i="1" s="1"/>
  <c r="X62" i="1"/>
  <c r="O70" i="1"/>
  <c r="X66" i="1"/>
  <c r="P67" i="1"/>
  <c r="X67" i="1"/>
  <c r="P33" i="1"/>
  <c r="P15" i="1"/>
  <c r="L40" i="1"/>
  <c r="Q40" i="1" s="1"/>
  <c r="P60" i="1"/>
  <c r="P39" i="1"/>
  <c r="P35" i="1"/>
  <c r="P31" i="1"/>
  <c r="P10" i="1"/>
  <c r="P38" i="1"/>
  <c r="P30" i="1"/>
  <c r="L42" i="1"/>
  <c r="Q42" i="1" s="1"/>
  <c r="L19" i="1"/>
  <c r="Q19" i="1" s="1"/>
  <c r="L99" i="1"/>
  <c r="Q99" i="1" s="1"/>
  <c r="L69" i="1"/>
  <c r="Q69" i="1" s="1"/>
  <c r="L50" i="1"/>
  <c r="Q50" i="1" s="1"/>
  <c r="L105" i="1"/>
  <c r="Q105" i="1" s="1"/>
  <c r="P34" i="1"/>
  <c r="O44" i="1"/>
  <c r="L96" i="1"/>
  <c r="Q96" i="1" s="1"/>
  <c r="L66" i="1"/>
  <c r="Q66" i="1" s="1"/>
  <c r="K84" i="1"/>
  <c r="L82" i="1"/>
  <c r="Q82" i="1" s="1"/>
  <c r="L61" i="1"/>
  <c r="Q61" i="1" s="1"/>
  <c r="L55" i="1"/>
  <c r="Q55" i="1" s="1"/>
  <c r="L41" i="1"/>
  <c r="Q41" i="1" s="1"/>
  <c r="L49" i="1"/>
  <c r="Q49" i="1" s="1"/>
  <c r="L68" i="1"/>
  <c r="Q68" i="1" s="1"/>
  <c r="L43" i="1"/>
  <c r="Q43" i="1" s="1"/>
  <c r="L20" i="1"/>
  <c r="Q20" i="1" s="1"/>
  <c r="J88" i="1"/>
  <c r="L87" i="1"/>
  <c r="Q87" i="1" s="1"/>
  <c r="L7" i="1"/>
  <c r="J79" i="1"/>
  <c r="L78" i="1"/>
  <c r="Q78" i="1" s="1"/>
  <c r="J76" i="1"/>
  <c r="L75" i="1"/>
  <c r="Q75" i="1" s="1"/>
  <c r="J91" i="1"/>
  <c r="L90" i="1"/>
  <c r="Q90" i="1" s="1"/>
  <c r="J73" i="1"/>
  <c r="L72" i="1"/>
  <c r="Q72" i="1" s="1"/>
  <c r="L25" i="1"/>
  <c r="Q25" i="1" s="1"/>
  <c r="L18" i="1"/>
  <c r="Q18" i="1" s="1"/>
  <c r="J94" i="1"/>
  <c r="L93" i="1"/>
  <c r="Q93" i="1" s="1"/>
  <c r="K47" i="1"/>
  <c r="L46" i="1"/>
  <c r="Q46" i="1" s="1"/>
  <c r="O47" i="1"/>
  <c r="P59" i="1"/>
  <c r="O62" i="1"/>
  <c r="K16" i="1"/>
  <c r="K70" i="1"/>
  <c r="K62" i="1"/>
  <c r="K103" i="1"/>
  <c r="J26" i="1"/>
  <c r="J106" i="1"/>
  <c r="K57" i="1"/>
  <c r="K22" i="1"/>
  <c r="K52" i="1"/>
  <c r="K44" i="1"/>
  <c r="J103" i="1"/>
  <c r="J84" i="1"/>
  <c r="J16" i="1"/>
  <c r="J57" i="1"/>
  <c r="J62" i="1"/>
  <c r="J70" i="1"/>
  <c r="J22" i="1"/>
  <c r="J44" i="1"/>
  <c r="J52" i="1"/>
  <c r="P81" i="1" l="1"/>
  <c r="P54" i="1"/>
  <c r="P28" i="1"/>
  <c r="L47" i="1"/>
  <c r="Q47" i="1" s="1"/>
  <c r="L57" i="1"/>
  <c r="Q57" i="1" s="1"/>
  <c r="P37" i="1"/>
  <c r="P101" i="1"/>
  <c r="P98" i="1"/>
  <c r="P32" i="1"/>
  <c r="P29" i="1"/>
  <c r="O108" i="1"/>
  <c r="P102" i="1"/>
  <c r="P83" i="1"/>
  <c r="L88" i="1"/>
  <c r="Q88" i="1" s="1"/>
  <c r="P97" i="1"/>
  <c r="P21" i="1"/>
  <c r="P36" i="1"/>
  <c r="P56" i="1"/>
  <c r="P100" i="1"/>
  <c r="X70" i="1"/>
  <c r="X108" i="1" s="1"/>
  <c r="B120" i="1" s="1"/>
  <c r="P20" i="1"/>
  <c r="P105" i="1"/>
  <c r="P106" i="1" s="1"/>
  <c r="P75" i="1"/>
  <c r="P76" i="1" s="1"/>
  <c r="P9" i="1"/>
  <c r="P82" i="1"/>
  <c r="P8" i="1"/>
  <c r="P14" i="1"/>
  <c r="P46" i="1"/>
  <c r="P47" i="1" s="1"/>
  <c r="P18" i="1"/>
  <c r="P43" i="1"/>
  <c r="P41" i="1"/>
  <c r="P69" i="1"/>
  <c r="P25" i="1"/>
  <c r="P26" i="1" s="1"/>
  <c r="P78" i="1"/>
  <c r="P87" i="1"/>
  <c r="P88" i="1" s="1"/>
  <c r="P68" i="1"/>
  <c r="P55" i="1"/>
  <c r="P13" i="1"/>
  <c r="P99" i="1"/>
  <c r="P42" i="1"/>
  <c r="P40" i="1"/>
  <c r="P19" i="1"/>
  <c r="P7" i="1"/>
  <c r="Q7" i="1"/>
  <c r="P96" i="1"/>
  <c r="P12" i="1"/>
  <c r="P61" i="1"/>
  <c r="P66" i="1"/>
  <c r="P72" i="1"/>
  <c r="P49" i="1"/>
  <c r="P50" i="1"/>
  <c r="L103" i="1"/>
  <c r="Q103" i="1" s="1"/>
  <c r="L84" i="1"/>
  <c r="Q84" i="1" s="1"/>
  <c r="L62" i="1"/>
  <c r="Q62" i="1" s="1"/>
  <c r="L106" i="1"/>
  <c r="Q106" i="1" s="1"/>
  <c r="L70" i="1"/>
  <c r="Q70" i="1" s="1"/>
  <c r="L76" i="1"/>
  <c r="Q76" i="1" s="1"/>
  <c r="L52" i="1"/>
  <c r="Q52" i="1" s="1"/>
  <c r="L44" i="1"/>
  <c r="Q44" i="1" s="1"/>
  <c r="L22" i="1"/>
  <c r="Q22" i="1" s="1"/>
  <c r="P93" i="1"/>
  <c r="L94" i="1"/>
  <c r="Q94" i="1" s="1"/>
  <c r="L73" i="1"/>
  <c r="Q73" i="1" s="1"/>
  <c r="L79" i="1"/>
  <c r="Q79" i="1" s="1"/>
  <c r="L26" i="1"/>
  <c r="Q26" i="1" s="1"/>
  <c r="P90" i="1"/>
  <c r="L91" i="1"/>
  <c r="Q91" i="1" s="1"/>
  <c r="L16" i="1"/>
  <c r="Q16" i="1" s="1"/>
  <c r="P44" i="1" l="1"/>
  <c r="P16" i="1"/>
  <c r="P22" i="1"/>
  <c r="Q108" i="1"/>
  <c r="L108" i="1"/>
  <c r="B129" i="1" s="1"/>
  <c r="P52" i="1"/>
  <c r="P57" i="1"/>
  <c r="P62" i="1"/>
  <c r="P73" i="1"/>
  <c r="P84" i="1"/>
  <c r="P79" i="1"/>
  <c r="P103" i="1"/>
  <c r="P70" i="1"/>
  <c r="P94" i="1"/>
  <c r="P91" i="1"/>
  <c r="R7" i="1" l="1"/>
  <c r="T7" i="1" s="1"/>
  <c r="V7" i="1" s="1"/>
  <c r="R102" i="1"/>
  <c r="T102" i="1" s="1"/>
  <c r="V102" i="1" s="1"/>
  <c r="R101" i="1"/>
  <c r="T101" i="1" s="1"/>
  <c r="V101" i="1" s="1"/>
  <c r="R90" i="1"/>
  <c r="R81" i="1"/>
  <c r="T81" i="1" s="1"/>
  <c r="R69" i="1"/>
  <c r="T69" i="1" s="1"/>
  <c r="V69" i="1" s="1"/>
  <c r="R61" i="1"/>
  <c r="T61" i="1" s="1"/>
  <c r="V61" i="1" s="1"/>
  <c r="R54" i="1"/>
  <c r="T54" i="1" s="1"/>
  <c r="R29" i="1"/>
  <c r="R33" i="1"/>
  <c r="T33" i="1" s="1"/>
  <c r="V33" i="1" s="1"/>
  <c r="R37" i="1"/>
  <c r="T37" i="1" s="1"/>
  <c r="V37" i="1" s="1"/>
  <c r="R41" i="1"/>
  <c r="T41" i="1" s="1"/>
  <c r="V41" i="1" s="1"/>
  <c r="R25" i="1"/>
  <c r="R18" i="1"/>
  <c r="T18" i="1" s="1"/>
  <c r="R14" i="1"/>
  <c r="R98" i="1"/>
  <c r="T98" i="1" s="1"/>
  <c r="V98" i="1" s="1"/>
  <c r="R97" i="1"/>
  <c r="T97" i="1" s="1"/>
  <c r="V97" i="1" s="1"/>
  <c r="R87" i="1"/>
  <c r="R78" i="1"/>
  <c r="R68" i="1"/>
  <c r="R59" i="1"/>
  <c r="T59" i="1" s="1"/>
  <c r="R50" i="1"/>
  <c r="T50" i="1" s="1"/>
  <c r="V50" i="1" s="1"/>
  <c r="R30" i="1"/>
  <c r="T30" i="1" s="1"/>
  <c r="V30" i="1" s="1"/>
  <c r="R34" i="1"/>
  <c r="T34" i="1" s="1"/>
  <c r="V34" i="1" s="1"/>
  <c r="R38" i="1"/>
  <c r="T38" i="1" s="1"/>
  <c r="V38" i="1" s="1"/>
  <c r="R42" i="1"/>
  <c r="T42" i="1" s="1"/>
  <c r="V42" i="1" s="1"/>
  <c r="R19" i="1"/>
  <c r="T19" i="1" s="1"/>
  <c r="V19" i="1" s="1"/>
  <c r="R8" i="1"/>
  <c r="R11" i="1"/>
  <c r="T11" i="1" s="1"/>
  <c r="V11" i="1" s="1"/>
  <c r="R15" i="1"/>
  <c r="T15" i="1" s="1"/>
  <c r="V15" i="1" s="1"/>
  <c r="R99" i="1"/>
  <c r="T99" i="1" s="1"/>
  <c r="V99" i="1" s="1"/>
  <c r="R96" i="1"/>
  <c r="T96" i="1" s="1"/>
  <c r="R82" i="1"/>
  <c r="T82" i="1" s="1"/>
  <c r="R75" i="1"/>
  <c r="R66" i="1"/>
  <c r="T66" i="1" s="1"/>
  <c r="R55" i="1"/>
  <c r="T55" i="1" s="1"/>
  <c r="V55" i="1" s="1"/>
  <c r="R49" i="1"/>
  <c r="T49" i="1" s="1"/>
  <c r="R31" i="1"/>
  <c r="T31" i="1" s="1"/>
  <c r="V31" i="1" s="1"/>
  <c r="R35" i="1"/>
  <c r="T35" i="1" s="1"/>
  <c r="V35" i="1" s="1"/>
  <c r="R39" i="1"/>
  <c r="T39" i="1" s="1"/>
  <c r="V39" i="1" s="1"/>
  <c r="R43" i="1"/>
  <c r="T43" i="1" s="1"/>
  <c r="V43" i="1" s="1"/>
  <c r="R20" i="1"/>
  <c r="T20" i="1" s="1"/>
  <c r="V20" i="1" s="1"/>
  <c r="R9" i="1"/>
  <c r="T9" i="1" s="1"/>
  <c r="V9" i="1" s="1"/>
  <c r="R12" i="1"/>
  <c r="R105" i="1"/>
  <c r="R100" i="1"/>
  <c r="T100" i="1" s="1"/>
  <c r="V100" i="1" s="1"/>
  <c r="R93" i="1"/>
  <c r="R83" i="1"/>
  <c r="T83" i="1" s="1"/>
  <c r="V83" i="1" s="1"/>
  <c r="R72" i="1"/>
  <c r="R60" i="1"/>
  <c r="T60" i="1" s="1"/>
  <c r="V60" i="1" s="1"/>
  <c r="R56" i="1"/>
  <c r="T56" i="1" s="1"/>
  <c r="V56" i="1" s="1"/>
  <c r="R46" i="1"/>
  <c r="R32" i="1"/>
  <c r="T32" i="1" s="1"/>
  <c r="V32" i="1" s="1"/>
  <c r="R36" i="1"/>
  <c r="T36" i="1" s="1"/>
  <c r="V36" i="1" s="1"/>
  <c r="R40" i="1"/>
  <c r="T40" i="1" s="1"/>
  <c r="V40" i="1" s="1"/>
  <c r="R28" i="1"/>
  <c r="T28" i="1" s="1"/>
  <c r="R21" i="1"/>
  <c r="T21" i="1" s="1"/>
  <c r="V21" i="1" s="1"/>
  <c r="R10" i="1"/>
  <c r="T10" i="1" s="1"/>
  <c r="V10" i="1" s="1"/>
  <c r="R13" i="1"/>
  <c r="T13" i="1" s="1"/>
  <c r="V13" i="1" s="1"/>
  <c r="T29" i="1"/>
  <c r="V29" i="1" s="1"/>
  <c r="T12" i="1"/>
  <c r="V12" i="1" s="1"/>
  <c r="T51" i="1"/>
  <c r="V51" i="1" s="1"/>
  <c r="T68" i="1"/>
  <c r="V68" i="1" s="1"/>
  <c r="P108" i="1"/>
  <c r="T57" i="1" l="1"/>
  <c r="T103" i="1"/>
  <c r="R73" i="1"/>
  <c r="T72" i="1"/>
  <c r="V59" i="1"/>
  <c r="V62" i="1" s="1"/>
  <c r="U62" i="1"/>
  <c r="W62" i="1" s="1"/>
  <c r="T22" i="1"/>
  <c r="R88" i="1"/>
  <c r="T87" i="1"/>
  <c r="R91" i="1"/>
  <c r="T90" i="1"/>
  <c r="T8" i="1"/>
  <c r="R76" i="1"/>
  <c r="T75" i="1"/>
  <c r="V75" i="1" s="1"/>
  <c r="V76" i="1" s="1"/>
  <c r="V81" i="1"/>
  <c r="R47" i="1"/>
  <c r="T46" i="1"/>
  <c r="T44" i="1"/>
  <c r="R106" i="1"/>
  <c r="T105" i="1"/>
  <c r="T14" i="1"/>
  <c r="V14" i="1" s="1"/>
  <c r="T84" i="1"/>
  <c r="V82" i="1"/>
  <c r="U70" i="1"/>
  <c r="W70" i="1" s="1"/>
  <c r="V66" i="1"/>
  <c r="V70" i="1" s="1"/>
  <c r="R94" i="1"/>
  <c r="T93" i="1"/>
  <c r="T52" i="1"/>
  <c r="R79" i="1"/>
  <c r="T78" i="1"/>
  <c r="V78" i="1" s="1"/>
  <c r="R26" i="1"/>
  <c r="T25" i="1"/>
  <c r="R70" i="1"/>
  <c r="R52" i="1"/>
  <c r="R103" i="1"/>
  <c r="R62" i="1"/>
  <c r="R22" i="1"/>
  <c r="R57" i="1"/>
  <c r="R84" i="1"/>
  <c r="R44" i="1"/>
  <c r="R16" i="1"/>
  <c r="T70" i="1"/>
  <c r="T62" i="1"/>
  <c r="V46" i="1" l="1"/>
  <c r="V47" i="1" s="1"/>
  <c r="U47" i="1"/>
  <c r="W47" i="1" s="1"/>
  <c r="T106" i="1"/>
  <c r="R108" i="1"/>
  <c r="V84" i="1"/>
  <c r="U84" i="1"/>
  <c r="W84" i="1" s="1"/>
  <c r="V8" i="1"/>
  <c r="T16" i="1"/>
  <c r="V49" i="1"/>
  <c r="V52" i="1" s="1"/>
  <c r="U52" i="1"/>
  <c r="W52" i="1" s="1"/>
  <c r="W44" i="1"/>
  <c r="V28" i="1"/>
  <c r="V44" i="1" s="1"/>
  <c r="U103" i="1"/>
  <c r="W103" i="1" s="1"/>
  <c r="V96" i="1"/>
  <c r="V103" i="1" s="1"/>
  <c r="T26" i="1"/>
  <c r="T88" i="1"/>
  <c r="T94" i="1"/>
  <c r="T91" i="1"/>
  <c r="T73" i="1"/>
  <c r="U22" i="1"/>
  <c r="W22" i="1" s="1"/>
  <c r="V18" i="1"/>
  <c r="V22" i="1" s="1"/>
  <c r="V54" i="1"/>
  <c r="V57" i="1" s="1"/>
  <c r="W57" i="1"/>
  <c r="V25" i="1" l="1"/>
  <c r="V26" i="1" s="1"/>
  <c r="V105" i="1"/>
  <c r="V106" i="1" s="1"/>
  <c r="W106" i="1"/>
  <c r="T108" i="1"/>
  <c r="B118" i="1" s="1"/>
  <c r="V93" i="1"/>
  <c r="V94" i="1" s="1"/>
  <c r="U94" i="1"/>
  <c r="W94" i="1" s="1"/>
  <c r="W16" i="1"/>
  <c r="V16" i="1"/>
  <c r="U73" i="1"/>
  <c r="W73" i="1" s="1"/>
  <c r="V72" i="1"/>
  <c r="V73" i="1" s="1"/>
  <c r="W91" i="1"/>
  <c r="V90" i="1"/>
  <c r="V91" i="1" s="1"/>
  <c r="U88" i="1"/>
  <c r="W88" i="1" s="1"/>
  <c r="V87" i="1"/>
  <c r="V88" i="1" s="1"/>
  <c r="Y99" i="1" l="1"/>
  <c r="AA99" i="1" s="1"/>
  <c r="AC99" i="1" s="1"/>
  <c r="Y96" i="1"/>
  <c r="AA96" i="1" s="1"/>
  <c r="Y66" i="1"/>
  <c r="AA66" i="1" s="1"/>
  <c r="AC66" i="1" s="1"/>
  <c r="Y65" i="1"/>
  <c r="AA65" i="1" s="1"/>
  <c r="Y55" i="1"/>
  <c r="AA55" i="1" s="1"/>
  <c r="AC55" i="1" s="1"/>
  <c r="Y34" i="1"/>
  <c r="AA34" i="1" s="1"/>
  <c r="AC34" i="1" s="1"/>
  <c r="Y40" i="1"/>
  <c r="AA40" i="1" s="1"/>
  <c r="AC40" i="1" s="1"/>
  <c r="Y105" i="1"/>
  <c r="Y100" i="1"/>
  <c r="AA100" i="1" s="1"/>
  <c r="AC100" i="1" s="1"/>
  <c r="Y78" i="1"/>
  <c r="AA78" i="1" s="1"/>
  <c r="Y67" i="1"/>
  <c r="AA67" i="1" s="1"/>
  <c r="AC67" i="1" s="1"/>
  <c r="Y60" i="1"/>
  <c r="AA60" i="1" s="1"/>
  <c r="AC60" i="1" s="1"/>
  <c r="Y56" i="1"/>
  <c r="AA56" i="1" s="1"/>
  <c r="AC56" i="1" s="1"/>
  <c r="Y30" i="1"/>
  <c r="AA30" i="1" s="1"/>
  <c r="AC30" i="1" s="1"/>
  <c r="Y35" i="1"/>
  <c r="AA35" i="1" s="1"/>
  <c r="AC35" i="1" s="1"/>
  <c r="Y42" i="1"/>
  <c r="AA42" i="1" s="1"/>
  <c r="AC42" i="1" s="1"/>
  <c r="Y97" i="1"/>
  <c r="AA97" i="1" s="1"/>
  <c r="AC97" i="1" s="1"/>
  <c r="Y101" i="1"/>
  <c r="AA101" i="1" s="1"/>
  <c r="AC101" i="1" s="1"/>
  <c r="Y75" i="1"/>
  <c r="AA75" i="1" s="1"/>
  <c r="Y68" i="1"/>
  <c r="Y61" i="1"/>
  <c r="AA61" i="1" s="1"/>
  <c r="AC61" i="1" s="1"/>
  <c r="Y54" i="1"/>
  <c r="AA54" i="1" s="1"/>
  <c r="Y51" i="1"/>
  <c r="AA51" i="1" s="1"/>
  <c r="Y31" i="1"/>
  <c r="AA31" i="1" s="1"/>
  <c r="AC31" i="1" s="1"/>
  <c r="Y36" i="1"/>
  <c r="AA36" i="1" s="1"/>
  <c r="AC36" i="1" s="1"/>
  <c r="Y43" i="1"/>
  <c r="AA43" i="1" s="1"/>
  <c r="AC43" i="1" s="1"/>
  <c r="Y98" i="1"/>
  <c r="AA98" i="1" s="1"/>
  <c r="AC98" i="1" s="1"/>
  <c r="Y102" i="1"/>
  <c r="AA102" i="1" s="1"/>
  <c r="AC102" i="1" s="1"/>
  <c r="Y72" i="1"/>
  <c r="AA72" i="1" s="1"/>
  <c r="Y69" i="1"/>
  <c r="AA69" i="1" s="1"/>
  <c r="AC69" i="1" s="1"/>
  <c r="Y59" i="1"/>
  <c r="AA59" i="1" s="1"/>
  <c r="Y46" i="1"/>
  <c r="AA46" i="1" s="1"/>
  <c r="Y32" i="1"/>
  <c r="AA32" i="1" s="1"/>
  <c r="AC32" i="1" s="1"/>
  <c r="Y37" i="1"/>
  <c r="AA37" i="1" s="1"/>
  <c r="AC37" i="1" s="1"/>
  <c r="Y28" i="1"/>
  <c r="AA28" i="1" s="1"/>
  <c r="Y8" i="1"/>
  <c r="AA8" i="1" s="1"/>
  <c r="Y10" i="1"/>
  <c r="AA10" i="1" s="1"/>
  <c r="AC10" i="1" s="1"/>
  <c r="Y13" i="1"/>
  <c r="AA13" i="1" s="1"/>
  <c r="AC13" i="1" s="1"/>
  <c r="Y12" i="1"/>
  <c r="AA12" i="1" s="1"/>
  <c r="AC12" i="1" s="1"/>
  <c r="Y14" i="1"/>
  <c r="AA14" i="1" s="1"/>
  <c r="AC14" i="1" s="1"/>
  <c r="Y9" i="1"/>
  <c r="AA9" i="1" s="1"/>
  <c r="AC9" i="1" s="1"/>
  <c r="AA57" i="1" l="1"/>
  <c r="AC8" i="1"/>
  <c r="AA16" i="1"/>
  <c r="AA47" i="1"/>
  <c r="AA44" i="1"/>
  <c r="AA62" i="1"/>
  <c r="AA52" i="1"/>
  <c r="AA76" i="1"/>
  <c r="AA70" i="1"/>
  <c r="AA79" i="1"/>
  <c r="AA73" i="1"/>
  <c r="AA103" i="1"/>
  <c r="Y106" i="1"/>
  <c r="AA105" i="1"/>
  <c r="Y103" i="1"/>
  <c r="Y73" i="1"/>
  <c r="Y62" i="1"/>
  <c r="Y70" i="1"/>
  <c r="Y79" i="1"/>
  <c r="Y16" i="1"/>
  <c r="Y47" i="1"/>
  <c r="Y57" i="1"/>
  <c r="Y44" i="1"/>
  <c r="Y52" i="1"/>
  <c r="Y76" i="1"/>
  <c r="AA106" i="1" l="1"/>
  <c r="AA108" i="1" s="1"/>
  <c r="AC28" i="1"/>
  <c r="AC44" i="1" s="1"/>
  <c r="AD44" i="1"/>
  <c r="AB52" i="1"/>
  <c r="AD52" i="1" s="1"/>
  <c r="AC51" i="1"/>
  <c r="AC52" i="1" s="1"/>
  <c r="AC72" i="1"/>
  <c r="AC73" i="1" s="1"/>
  <c r="AB73" i="1"/>
  <c r="AD73" i="1" s="1"/>
  <c r="AC65" i="1"/>
  <c r="AC70" i="1" s="1"/>
  <c r="AB70" i="1"/>
  <c r="AD70" i="1" s="1"/>
  <c r="AC59" i="1"/>
  <c r="AC62" i="1" s="1"/>
  <c r="AD62" i="1"/>
  <c r="AC46" i="1"/>
  <c r="AC47" i="1" s="1"/>
  <c r="AD47" i="1"/>
  <c r="AB103" i="1"/>
  <c r="AD103" i="1" s="1"/>
  <c r="AC96" i="1"/>
  <c r="AC103" i="1" s="1"/>
  <c r="AC78" i="1"/>
  <c r="AC79" i="1" s="1"/>
  <c r="AB79" i="1"/>
  <c r="AD79" i="1" s="1"/>
  <c r="AD76" i="1"/>
  <c r="AC75" i="1"/>
  <c r="AC76" i="1" s="1"/>
  <c r="AC54" i="1"/>
  <c r="AC57" i="1" s="1"/>
  <c r="AD57" i="1"/>
  <c r="Y108" i="1"/>
  <c r="AB106" i="1" l="1"/>
  <c r="AD106" i="1" s="1"/>
  <c r="AC105" i="1"/>
  <c r="AC16" i="1"/>
  <c r="AB16" i="1"/>
  <c r="AD16" i="1" s="1"/>
</calcChain>
</file>

<file path=xl/comments1.xml><?xml version="1.0" encoding="utf-8"?>
<comments xmlns="http://schemas.openxmlformats.org/spreadsheetml/2006/main">
  <authors>
    <author>Rowena Krentz</author>
  </authors>
  <commentList>
    <comment ref="U82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Reduced allocation</t>
        </r>
      </text>
    </comment>
    <comment ref="U83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Reduced Allocation</t>
        </r>
      </text>
    </comment>
  </commentList>
</comments>
</file>

<file path=xl/comments2.xml><?xml version="1.0" encoding="utf-8"?>
<comments xmlns="http://schemas.openxmlformats.org/spreadsheetml/2006/main">
  <authors>
    <author>Rowena Krentz</author>
  </authors>
  <commentList>
    <comment ref="U82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Reduced allocation</t>
        </r>
      </text>
    </comment>
    <comment ref="X82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Reduced allocation</t>
        </r>
      </text>
    </comment>
    <comment ref="Y82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Reduced Allocation</t>
        </r>
      </text>
    </comment>
    <comment ref="U83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Reduced Allocation</t>
        </r>
      </text>
    </comment>
  </commentList>
</comments>
</file>

<file path=xl/sharedStrings.xml><?xml version="1.0" encoding="utf-8"?>
<sst xmlns="http://schemas.openxmlformats.org/spreadsheetml/2006/main" count="894" uniqueCount="254">
  <si>
    <t xml:space="preserve">University of Manitoba Graduate Fellowships </t>
  </si>
  <si>
    <t>2014-2015</t>
  </si>
  <si>
    <t>Faculty</t>
  </si>
  <si>
    <t>Department</t>
  </si>
  <si>
    <t>Total</t>
  </si>
  <si>
    <t>Masters
(1-2 yrs)</t>
  </si>
  <si>
    <t>Budget</t>
  </si>
  <si>
    <t>Renewals</t>
  </si>
  <si>
    <t>Unit</t>
  </si>
  <si>
    <t>Agric &amp; Fd. Sc.</t>
  </si>
  <si>
    <t>Agribusiness and Agric. Economics</t>
  </si>
  <si>
    <t>Animal Science</t>
  </si>
  <si>
    <t>Biosystems Engineering</t>
  </si>
  <si>
    <t>Entomology</t>
  </si>
  <si>
    <t>Food Science</t>
  </si>
  <si>
    <t>Plant Science</t>
  </si>
  <si>
    <t>Soil Science</t>
  </si>
  <si>
    <t>Subtotal</t>
  </si>
  <si>
    <t>Architecture</t>
  </si>
  <si>
    <t>City Planning</t>
  </si>
  <si>
    <t>Interior Design</t>
  </si>
  <si>
    <t xml:space="preserve">Landscape Architecture                                 </t>
  </si>
  <si>
    <t xml:space="preserve">Art, School of </t>
  </si>
  <si>
    <t>Fine Arts</t>
  </si>
  <si>
    <t>Arts</t>
  </si>
  <si>
    <t>Anthropology</t>
  </si>
  <si>
    <t xml:space="preserve">Classics                            </t>
  </si>
  <si>
    <t xml:space="preserve">Economics                </t>
  </si>
  <si>
    <t>English</t>
  </si>
  <si>
    <t>French</t>
  </si>
  <si>
    <t xml:space="preserve">German &amp; Slavic Studies                         </t>
  </si>
  <si>
    <t>Icelandic</t>
  </si>
  <si>
    <t xml:space="preserve">Linguistics                 </t>
  </si>
  <si>
    <t>Native Studies</t>
  </si>
  <si>
    <t>Philosophy</t>
  </si>
  <si>
    <t>Political Studies</t>
  </si>
  <si>
    <t xml:space="preserve">Psychology                  </t>
  </si>
  <si>
    <t>Sociology</t>
  </si>
  <si>
    <t xml:space="preserve">Business, Asper School of </t>
  </si>
  <si>
    <t>Education</t>
  </si>
  <si>
    <t>Curriculum, Teaching &amp; Learning</t>
  </si>
  <si>
    <t xml:space="preserve">Educ Admin, Fndns &amp; Psychology      </t>
  </si>
  <si>
    <t>Engineering</t>
  </si>
  <si>
    <t>Civil Engineering</t>
  </si>
  <si>
    <t>Electrical and Computer Eng.</t>
  </si>
  <si>
    <t xml:space="preserve">Environment, Earth, and Resources,                      </t>
  </si>
  <si>
    <t xml:space="preserve">Environment and Geography                       </t>
  </si>
  <si>
    <t xml:space="preserve"> Clayton H. Riddell Faculty of             </t>
  </si>
  <si>
    <t xml:space="preserve">Geological Sciences                          </t>
  </si>
  <si>
    <t xml:space="preserve">Natural Resources Institute      </t>
  </si>
  <si>
    <t>Graduate Studies</t>
  </si>
  <si>
    <t>Applied Health Sciences</t>
  </si>
  <si>
    <t>Biomedical Engineering</t>
  </si>
  <si>
    <t>Disability Studies</t>
  </si>
  <si>
    <t>Oral Biology</t>
  </si>
  <si>
    <t>Nursing</t>
  </si>
  <si>
    <t>Pharmacy</t>
  </si>
  <si>
    <t>Rehabilitation Sciences, College of 9</t>
  </si>
  <si>
    <t>Medical Rehabilitation</t>
  </si>
  <si>
    <t>*Reduced Allocation</t>
  </si>
  <si>
    <t xml:space="preserve">Occupational Therapy (Regular)        </t>
  </si>
  <si>
    <t>for MOT &amp; PT</t>
  </si>
  <si>
    <t>Physical Therapy</t>
  </si>
  <si>
    <t>Family Social Sciences</t>
  </si>
  <si>
    <t>Textile Sciences</t>
  </si>
  <si>
    <t xml:space="preserve">Kinesiology &amp; Recreation Management </t>
  </si>
  <si>
    <t>Kinesiology and Recreation</t>
  </si>
  <si>
    <t>Law</t>
  </si>
  <si>
    <t xml:space="preserve">Music, Marcel A. Desautels Faculty of </t>
  </si>
  <si>
    <t>Music</t>
  </si>
  <si>
    <t>Science</t>
  </si>
  <si>
    <t>Biological Sciences</t>
  </si>
  <si>
    <t>Botany</t>
  </si>
  <si>
    <t>Chemistry</t>
  </si>
  <si>
    <t>Computer Science</t>
  </si>
  <si>
    <t>Mathematics</t>
  </si>
  <si>
    <t>Microbiology</t>
  </si>
  <si>
    <t xml:space="preserve">Physics and Astronomy                  </t>
  </si>
  <si>
    <t>Statistics</t>
  </si>
  <si>
    <t xml:space="preserve">Zoology                             </t>
  </si>
  <si>
    <t>Social Work</t>
  </si>
  <si>
    <t>Baseline</t>
  </si>
  <si>
    <t>Less Medicine</t>
  </si>
  <si>
    <t>Overcommitment</t>
  </si>
  <si>
    <t>Total Funds</t>
  </si>
  <si>
    <t>Notes:</t>
  </si>
  <si>
    <t xml:space="preserve">1. Graduate figures include students continuing in a course or thesis over more than one term.  This table excludes graduate diploma students and students in St. Boniface graduate programs.           </t>
  </si>
  <si>
    <t>3. Students in Individual Interdisciplinary Studies (IIS) are shown under the faculty of their advisor.</t>
  </si>
  <si>
    <t>2016-2017 Preliminary Quotas by Unit &amp; Faculty</t>
  </si>
  <si>
    <t>Human Nutritional Sciences</t>
  </si>
  <si>
    <t>Geography</t>
  </si>
  <si>
    <t>Mechanical Engineering</t>
  </si>
  <si>
    <t>Peace &amp; Conflict Studies</t>
  </si>
  <si>
    <t>Immunology</t>
  </si>
  <si>
    <t>(blank)</t>
  </si>
  <si>
    <t>Kinesiology</t>
  </si>
  <si>
    <t>Community Health Sciences</t>
  </si>
  <si>
    <t>Pathology</t>
  </si>
  <si>
    <t>Masters 
(&gt;2 yrs)</t>
  </si>
  <si>
    <t>Masters 
Total</t>
  </si>
  <si>
    <t>Ph.D. 
(1-4 yrs)</t>
  </si>
  <si>
    <t>Ph.D. 
(&gt;4 yrs)</t>
  </si>
  <si>
    <t>Ph.D. 
Total</t>
  </si>
  <si>
    <t>Budget 
 Remaining</t>
  </si>
  <si>
    <t>2015-2016</t>
  </si>
  <si>
    <t>MASTERS STUDENTS BY YEAR IN PROGRAM1,2,3</t>
  </si>
  <si>
    <t>(Adjusted for Time Away on Exceptional or Parenting Leave)</t>
  </si>
  <si>
    <t>Fall Term 2015</t>
  </si>
  <si>
    <t>As at November 1</t>
  </si>
  <si>
    <t>Full-Time</t>
  </si>
  <si>
    <t>Part-Time</t>
  </si>
  <si>
    <t>Continuing</t>
  </si>
  <si>
    <t>Grand</t>
  </si>
  <si>
    <t>Area of Study</t>
  </si>
  <si>
    <t>1 Year</t>
  </si>
  <si>
    <t>2 Years</t>
  </si>
  <si>
    <t>3 Years</t>
  </si>
  <si>
    <t>4+ Years</t>
  </si>
  <si>
    <t xml:space="preserve">Agricultural &amp; Food Sciences      </t>
  </si>
  <si>
    <t>% Distribution</t>
  </si>
  <si>
    <t>School Psychology</t>
  </si>
  <si>
    <t xml:space="preserve">Management Interdisciplinary (MBA)           </t>
  </si>
  <si>
    <t xml:space="preserve">English as a Second Language      </t>
  </si>
  <si>
    <t>General Curriculum</t>
  </si>
  <si>
    <t xml:space="preserve">Language and Literacy      </t>
  </si>
  <si>
    <t>Second Language Education</t>
  </si>
  <si>
    <t>Adult &amp; Post Secondary Educ.</t>
  </si>
  <si>
    <t>Adult Education</t>
  </si>
  <si>
    <t>Cross-Cultural, Soc., &amp; Phil. Fndns in Educ.</t>
  </si>
  <si>
    <t>Education Administration</t>
  </si>
  <si>
    <t>Social Foundations of Educ.</t>
  </si>
  <si>
    <t xml:space="preserve">Environment, Earth, and Resources                      </t>
  </si>
  <si>
    <t xml:space="preserve">Oral &amp; Maxillofacial Surgery      </t>
  </si>
  <si>
    <t>Pediatric Dentistry</t>
  </si>
  <si>
    <t xml:space="preserve">Periodontics                      </t>
  </si>
  <si>
    <t>Preventive Dental Sciences</t>
  </si>
  <si>
    <t xml:space="preserve">Biochem. and Medical Genetics   </t>
  </si>
  <si>
    <t xml:space="preserve">Human Anatomy &amp; Cell Science   </t>
  </si>
  <si>
    <t xml:space="preserve">Medical Microbiology      </t>
  </si>
  <si>
    <t xml:space="preserve">Pharmacology &amp; Therapeutics      </t>
  </si>
  <si>
    <t>Physician Assistant Education</t>
  </si>
  <si>
    <t>Surgery</t>
  </si>
  <si>
    <t>Nurse Practitioner</t>
  </si>
  <si>
    <t>Occupational Therapy (Accelerated)</t>
  </si>
  <si>
    <t>Faculty Subtotal</t>
  </si>
  <si>
    <t xml:space="preserve">Recreation Studies                         </t>
  </si>
  <si>
    <t>Composition</t>
  </si>
  <si>
    <t>Conducting</t>
  </si>
  <si>
    <t xml:space="preserve">Performance                          </t>
  </si>
  <si>
    <t>4. New includes any graduate students starting in the Winter, Summer or Fall Term in 2015.</t>
  </si>
  <si>
    <t xml:space="preserve">5.  Effective Fall Term 2014, the Department of Human Nutritional Sciences moved from the Faculty of Human Ecology to the Faculty of Agricultural and Food Sciences. </t>
  </si>
  <si>
    <t xml:space="preserve">     Comparisons with previous years should be made with caution.</t>
  </si>
  <si>
    <t xml:space="preserve">6. Effective July 1, 2015, the Faculty of Human Ecology's programs and departments joined other academic units within the university.  Students in Textile Sciences are now reported under the Faculty of </t>
  </si>
  <si>
    <t xml:space="preserve">     Agricultural and Food Sciences.  Students in Family Social Sciences are now reported under the College of Medicine.  Comparisons to previous years should be made with caution. </t>
  </si>
  <si>
    <t>8. Counselling Psychology previously reported as Counsellor Education.</t>
  </si>
  <si>
    <t>9. Inclusive Education previously reported as Inclusive Special Education.</t>
  </si>
  <si>
    <t>10. Effective November 2014, the Faculties of Dentistry, Medicine, Nursing and Pharmacy became colleges in the Faculty of Health Sciences.  The College of Rehabilitation Sciences</t>
  </si>
  <si>
    <t xml:space="preserve">    (formerly, the School of Medical Rehabilitation) and the School of Dental Hygiene also became part of the new faculty. </t>
  </si>
  <si>
    <t>11. Physiology changed its name to Physiology and Pathophysiology in 2014.</t>
  </si>
  <si>
    <t xml:space="preserve">12. Beginning Fall Term 2014, the Master's in Social Work has a revised program structure.  Students enrolled prior to 2014 will complete under the previous program. </t>
  </si>
  <si>
    <t xml:space="preserve">13. Students on an Exceptional or Parenting Leave are not required to register while on leave and are therefore not included in the Fall Term headcounts.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</si>
  <si>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They have been added as part-time students in this report only.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</si>
  <si>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New </t>
    </r>
    <r>
      <rPr>
        <b/>
        <vertAlign val="superscript"/>
        <sz val="11"/>
        <rFont val="Calibri"/>
        <family val="2"/>
        <scheme val="minor"/>
      </rPr>
      <t>4</t>
    </r>
  </si>
  <si>
    <r>
      <t>Art, School of</t>
    </r>
    <r>
      <rPr>
        <b/>
        <vertAlign val="superscript"/>
        <sz val="11"/>
        <rFont val="Calibri"/>
        <family val="2"/>
        <scheme val="minor"/>
      </rPr>
      <t xml:space="preserve"> </t>
    </r>
  </si>
  <si>
    <r>
      <t>Inclusive Education</t>
    </r>
    <r>
      <rPr>
        <vertAlign val="superscript"/>
        <sz val="11"/>
        <rFont val="Calibri"/>
        <family val="2"/>
        <scheme val="minor"/>
      </rPr>
      <t xml:space="preserve">9  </t>
    </r>
  </si>
  <si>
    <r>
      <t>Individ. Interdisciplinary Program</t>
    </r>
    <r>
      <rPr>
        <vertAlign val="superscript"/>
        <sz val="11"/>
        <rFont val="Calibri"/>
        <family val="2"/>
        <scheme val="minor"/>
      </rPr>
      <t>3</t>
    </r>
  </si>
  <si>
    <r>
      <t>Health Sciences</t>
    </r>
    <r>
      <rPr>
        <b/>
        <vertAlign val="superscript"/>
        <sz val="11"/>
        <rFont val="Calibri"/>
        <family val="2"/>
        <scheme val="minor"/>
      </rPr>
      <t>10</t>
    </r>
  </si>
  <si>
    <r>
      <t>Dentistry, College of</t>
    </r>
    <r>
      <rPr>
        <b/>
        <vertAlign val="superscript"/>
        <sz val="11"/>
        <rFont val="Calibri"/>
        <family val="2"/>
        <scheme val="minor"/>
      </rPr>
      <t xml:space="preserve">10 </t>
    </r>
  </si>
  <si>
    <r>
      <t>Medicine, College of</t>
    </r>
    <r>
      <rPr>
        <b/>
        <vertAlign val="superscript"/>
        <sz val="11"/>
        <rFont val="Calibri"/>
        <family val="2"/>
        <scheme val="minor"/>
      </rPr>
      <t>10</t>
    </r>
  </si>
  <si>
    <r>
      <t>Nursing, College of</t>
    </r>
    <r>
      <rPr>
        <b/>
        <vertAlign val="superscript"/>
        <sz val="11"/>
        <rFont val="Calibri"/>
        <family val="2"/>
        <scheme val="minor"/>
      </rPr>
      <t xml:space="preserve">10 </t>
    </r>
  </si>
  <si>
    <r>
      <t>Pharmacy, College of</t>
    </r>
    <r>
      <rPr>
        <b/>
        <vertAlign val="superscript"/>
        <sz val="11"/>
        <rFont val="Calibri"/>
        <family val="2"/>
        <scheme val="minor"/>
      </rPr>
      <t xml:space="preserve">10 </t>
    </r>
  </si>
  <si>
    <r>
      <t>Rehabilitation Sciences, College of</t>
    </r>
    <r>
      <rPr>
        <b/>
        <vertAlign val="superscript"/>
        <sz val="11"/>
        <rFont val="Calibri"/>
        <family val="2"/>
        <scheme val="minor"/>
      </rPr>
      <t xml:space="preserve">10 </t>
    </r>
  </si>
  <si>
    <r>
      <t>Music, Marcel A. Desautels Faculty of</t>
    </r>
    <r>
      <rPr>
        <b/>
        <vertAlign val="superscript"/>
        <sz val="11"/>
        <rFont val="Calibri"/>
        <family val="2"/>
        <scheme val="minor"/>
      </rPr>
      <t xml:space="preserve"> </t>
    </r>
  </si>
  <si>
    <r>
      <t>Direct Practice-Grps/Community</t>
    </r>
    <r>
      <rPr>
        <vertAlign val="superscript"/>
        <sz val="11"/>
        <rFont val="Calibri"/>
        <family val="2"/>
        <scheme val="minor"/>
      </rPr>
      <t>12</t>
    </r>
  </si>
  <si>
    <r>
      <t>Direct Practice-Indvl/Families</t>
    </r>
    <r>
      <rPr>
        <vertAlign val="superscript"/>
        <sz val="11"/>
        <rFont val="Calibri"/>
        <family val="2"/>
        <scheme val="minor"/>
      </rPr>
      <t>12</t>
    </r>
  </si>
  <si>
    <r>
      <t>Indigenous Knowledge Practice</t>
    </r>
    <r>
      <rPr>
        <vertAlign val="superscript"/>
        <sz val="11"/>
        <rFont val="Calibri"/>
        <family val="2"/>
        <scheme val="minor"/>
      </rPr>
      <t>12</t>
    </r>
  </si>
  <si>
    <r>
      <t>Leadership, Mgmt &amp; Policy</t>
    </r>
    <r>
      <rPr>
        <vertAlign val="superscript"/>
        <sz val="11"/>
        <rFont val="Calibri"/>
        <family val="2"/>
        <scheme val="minor"/>
      </rPr>
      <t>12</t>
    </r>
  </si>
  <si>
    <r>
      <t>Research-Social Work</t>
    </r>
    <r>
      <rPr>
        <vertAlign val="superscript"/>
        <sz val="11"/>
        <rFont val="Calibri"/>
        <family val="2"/>
        <scheme val="minor"/>
      </rPr>
      <t>12</t>
    </r>
  </si>
  <si>
    <r>
      <t>Social - Clinical Intervention</t>
    </r>
    <r>
      <rPr>
        <vertAlign val="superscript"/>
        <sz val="11"/>
        <rFont val="Calibri"/>
        <family val="2"/>
        <scheme val="minor"/>
      </rPr>
      <t>12</t>
    </r>
  </si>
  <si>
    <r>
      <t>Social Services Administration</t>
    </r>
    <r>
      <rPr>
        <vertAlign val="superscript"/>
        <sz val="11"/>
        <rFont val="Calibri"/>
        <family val="2"/>
        <scheme val="minor"/>
      </rPr>
      <t>12</t>
    </r>
  </si>
  <si>
    <r>
      <t>On Exceptional/Parenting Leave</t>
    </r>
    <r>
      <rPr>
        <vertAlign val="superscript"/>
        <sz val="11"/>
        <rFont val="Calibri"/>
        <family val="2"/>
        <scheme val="minor"/>
      </rPr>
      <t>13</t>
    </r>
  </si>
  <si>
    <r>
      <t xml:space="preserve">2. Year in program is based on the length of time from the program start date, with three terms being a year.  Year in program  </t>
    </r>
    <r>
      <rPr>
        <u/>
        <sz val="11"/>
        <rFont val="Calibri"/>
        <family val="2"/>
        <scheme val="minor"/>
      </rPr>
      <t>has been adjusted</t>
    </r>
    <r>
      <rPr>
        <sz val="11"/>
        <rFont val="Calibri"/>
        <family val="2"/>
        <scheme val="minor"/>
      </rPr>
      <t xml:space="preserve"> for parenting or exceptional leaves.</t>
    </r>
  </si>
  <si>
    <r>
      <t xml:space="preserve">7. Includes </t>
    </r>
    <r>
      <rPr>
        <b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students in the Joint Master's Program shared by the University of Manitoba and the University of Winnipeg.</t>
    </r>
  </si>
  <si>
    <t>History</t>
  </si>
  <si>
    <t>Public Administration</t>
  </si>
  <si>
    <t>Religion</t>
  </si>
  <si>
    <t>Counselling Psychology</t>
  </si>
  <si>
    <r>
      <t>Physiology &amp; Pathophysiology</t>
    </r>
    <r>
      <rPr>
        <sz val="11"/>
        <rFont val="Calibri"/>
        <family val="2"/>
        <scheme val="minor"/>
      </rPr>
      <t xml:space="preserve"> </t>
    </r>
  </si>
  <si>
    <t>Architecture (Faculty)</t>
  </si>
  <si>
    <t>CTL</t>
  </si>
  <si>
    <t>EAFP</t>
  </si>
  <si>
    <t>Law (Faculty)</t>
  </si>
  <si>
    <t>Music cohort</t>
  </si>
  <si>
    <t>Social Work (Faculty)</t>
  </si>
  <si>
    <t>Social Work cohort</t>
  </si>
  <si>
    <t xml:space="preserve">Dentistry, College of </t>
  </si>
  <si>
    <t xml:space="preserve">Nursing, College of </t>
  </si>
  <si>
    <t xml:space="preserve">Pharmacy, College of </t>
  </si>
  <si>
    <t>Grand Total</t>
  </si>
  <si>
    <t>Sum of Annual Amount</t>
  </si>
  <si>
    <t>Row Labels</t>
  </si>
  <si>
    <t xml:space="preserve">     They have been added as part-time students in this report only.                                                                                                                                                                                            </t>
  </si>
  <si>
    <t xml:space="preserve">10. Students on an Exceptional or Parenting Leave are not required to register while on leave and are therefore not included in the Fall Term headcounts.                                                                                                       </t>
  </si>
  <si>
    <t>9.  Physiology changed its name to Physiology and Pathophysiology in 2014.</t>
  </si>
  <si>
    <t xml:space="preserve">      (formerly, the School of Medical Rehabilitation) and the School of Dental Hygiene also became part of the new faculty. </t>
  </si>
  <si>
    <t>8.  Effective November 2014, the Faculties of Dentistry, Medicine, Nursing and Pharmacy became colleges in the Faculty of Health Sciences.  The College of Rehabilitation Sciences</t>
  </si>
  <si>
    <t>7.  The Cancer Control Ph.D. is offered jointly by the College of Nursing and the Department of Community Health Sciences.</t>
  </si>
  <si>
    <t>6.  The Applied Health Sciences Ph.D. is offered jointly by Kinesiology and Recreation Management, Nursing and the Rehabilitation Sciences.</t>
  </si>
  <si>
    <t>4.  New includes any graduate students starting in the Winter, Summer or Fall Term in 2015.</t>
  </si>
  <si>
    <t>3.  Students in Individual Interdisciplinary Studies (IIS) are shown under the faculty of their advisor. If the faculty does not offer a Ph.D. program, the student is shown under Graduate Studies.</t>
  </si>
  <si>
    <t xml:space="preserve">1.  Graduate figures include students continuing in a course or thesis over more than one term.  </t>
  </si>
  <si>
    <t>Food &amp; Nutritional Sciences</t>
  </si>
  <si>
    <t>Language and Literacy</t>
  </si>
  <si>
    <t>Administration</t>
  </si>
  <si>
    <t>Ad Hoc</t>
  </si>
  <si>
    <t>6+ Years</t>
  </si>
  <si>
    <t>5 Years</t>
  </si>
  <si>
    <t>2-4 Years</t>
  </si>
  <si>
    <t>PH.D. STUDENTS BY YEAR IN PROGRAM1,2,3</t>
  </si>
  <si>
    <t>Education Faculty</t>
  </si>
  <si>
    <t>Cancer Control</t>
  </si>
  <si>
    <t>Individ. Interdisciplinary Program</t>
  </si>
  <si>
    <t>Physiology &amp; Pathophysiology</t>
  </si>
  <si>
    <t>Social Work Faculty</t>
  </si>
  <si>
    <r>
      <t>Health Sciences</t>
    </r>
    <r>
      <rPr>
        <b/>
        <vertAlign val="superscript"/>
        <sz val="11"/>
        <rFont val="Calibri"/>
        <family val="2"/>
        <scheme val="minor"/>
      </rPr>
      <t xml:space="preserve">8 </t>
    </r>
  </si>
  <si>
    <r>
      <t>Dentistry, College of</t>
    </r>
    <r>
      <rPr>
        <b/>
        <vertAlign val="superscript"/>
        <sz val="11"/>
        <rFont val="Calibri"/>
        <family val="2"/>
        <scheme val="minor"/>
      </rPr>
      <t xml:space="preserve">8 </t>
    </r>
  </si>
  <si>
    <r>
      <t>Medicine, College of</t>
    </r>
    <r>
      <rPr>
        <b/>
        <vertAlign val="superscript"/>
        <sz val="11"/>
        <rFont val="Calibri"/>
        <family val="2"/>
        <scheme val="minor"/>
      </rPr>
      <t xml:space="preserve">8 </t>
    </r>
  </si>
  <si>
    <r>
      <t>Nursing, College of</t>
    </r>
    <r>
      <rPr>
        <b/>
        <vertAlign val="superscript"/>
        <sz val="11"/>
        <rFont val="Calibri"/>
        <family val="2"/>
        <scheme val="minor"/>
      </rPr>
      <t xml:space="preserve">8 </t>
    </r>
  </si>
  <si>
    <r>
      <t>Pharmacy, College of</t>
    </r>
    <r>
      <rPr>
        <b/>
        <vertAlign val="superscript"/>
        <sz val="11"/>
        <rFont val="Calibri"/>
        <family val="2"/>
        <scheme val="minor"/>
      </rPr>
      <t xml:space="preserve">8 </t>
    </r>
  </si>
  <si>
    <r>
      <t>On Exceptional/Parenting Leave</t>
    </r>
    <r>
      <rPr>
        <vertAlign val="superscript"/>
        <sz val="11"/>
        <rFont val="Calibri"/>
        <family val="2"/>
        <scheme val="minor"/>
      </rPr>
      <t>10</t>
    </r>
  </si>
  <si>
    <r>
      <t xml:space="preserve">2.  Year in program is based on the length of time from the program start date, with three terms being a year.  Year in program </t>
    </r>
    <r>
      <rPr>
        <u/>
        <sz val="11"/>
        <rFont val="Calibri"/>
        <family val="2"/>
        <scheme val="minor"/>
      </rPr>
      <t>has been adjusted</t>
    </r>
    <r>
      <rPr>
        <sz val="11"/>
        <rFont val="Calibri"/>
        <family val="2"/>
        <scheme val="minor"/>
      </rPr>
      <t xml:space="preserve"> for parenting or exceptional leaves.</t>
    </r>
  </si>
  <si>
    <t xml:space="preserve">Management  </t>
  </si>
  <si>
    <t>OT Weight</t>
  </si>
  <si>
    <t>Education Ph.D.</t>
  </si>
  <si>
    <t>Unit
Allocation</t>
  </si>
  <si>
    <t>Dept
Avg Mstr</t>
  </si>
  <si>
    <t>$Per Ph.D. Student</t>
  </si>
  <si>
    <t>PhD</t>
  </si>
  <si>
    <t>MSTR</t>
  </si>
  <si>
    <t>Column Labels</t>
  </si>
  <si>
    <t xml:space="preserve">MASTER'S </t>
  </si>
  <si>
    <t>Ph.D.</t>
  </si>
  <si>
    <t>Dept
Avg Ph.D.</t>
  </si>
  <si>
    <t>Sum of Fiscal Amount</t>
  </si>
  <si>
    <t>MGS Available (less Ph.D. renewals)</t>
  </si>
  <si>
    <t>Carryover</t>
  </si>
  <si>
    <t>$ Per Master's Student</t>
  </si>
  <si>
    <t>Total Funds for new Ph.D</t>
  </si>
  <si>
    <t>Funds Available to New Mstrs</t>
  </si>
  <si>
    <t xml:space="preserve">Physiology &amp; Pathophysiology </t>
  </si>
  <si>
    <t xml:space="preserve">Occupational Therapy  </t>
  </si>
  <si>
    <t>Unit
(Final)</t>
  </si>
  <si>
    <t>Unit
Allocation 
(Final)</t>
  </si>
  <si>
    <t>Faculty
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</si>
</sst>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1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</cellStyleXfs>
  <cellXfs count="179">
    <xf numFmtId="0" fontId="0" fillId="0" borderId="0" xfId="0"/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5" fontId="24" fillId="0" borderId="10" xfId="0" applyNumberFormat="1" applyFont="1" applyBorder="1" applyAlignment="1">
      <alignment horizontal="center" wrapText="1"/>
    </xf>
    <xf numFmtId="0" fontId="24" fillId="0" borderId="10" xfId="0" applyFont="1" applyBorder="1"/>
    <xf numFmtId="164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165" fontId="23" fillId="0" borderId="11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4" fillId="0" borderId="12" xfId="0" applyNumberFormat="1" applyFont="1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24" fillId="0" borderId="10" xfId="0" applyNumberFormat="1" applyFont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9" fillId="0" borderId="0" xfId="42" applyFont="1" applyBorder="1"/>
    <xf numFmtId="0" fontId="19" fillId="0" borderId="0" xfId="42" applyFont="1"/>
    <xf numFmtId="0" fontId="26" fillId="0" borderId="0" xfId="42" applyFont="1" applyBorder="1"/>
    <xf numFmtId="0" fontId="26" fillId="0" borderId="0" xfId="42" applyFont="1"/>
    <xf numFmtId="0" fontId="26" fillId="0" borderId="0" xfId="42" applyFont="1" applyBorder="1" applyAlignment="1">
      <alignment horizontal="center"/>
    </xf>
    <xf numFmtId="0" fontId="26" fillId="0" borderId="13" xfId="42" applyFont="1" applyBorder="1" applyAlignment="1">
      <alignment horizontal="center"/>
    </xf>
    <xf numFmtId="0" fontId="26" fillId="0" borderId="0" xfId="42" applyFont="1" applyAlignment="1">
      <alignment horizontal="right"/>
    </xf>
    <xf numFmtId="0" fontId="26" fillId="0" borderId="13" xfId="42" applyFont="1" applyBorder="1"/>
    <xf numFmtId="0" fontId="26" fillId="0" borderId="14" xfId="42" applyFont="1" applyBorder="1" applyAlignment="1">
      <alignment horizontal="center"/>
    </xf>
    <xf numFmtId="0" fontId="19" fillId="0" borderId="0" xfId="42" applyFont="1" applyBorder="1" applyAlignment="1">
      <alignment horizontal="center"/>
    </xf>
    <xf numFmtId="0" fontId="26" fillId="0" borderId="0" xfId="42" applyFont="1" applyFill="1"/>
    <xf numFmtId="0" fontId="26" fillId="0" borderId="0" xfId="42" applyFont="1" applyFill="1" applyBorder="1"/>
    <xf numFmtId="0" fontId="29" fillId="33" borderId="0" xfId="42" applyFont="1" applyFill="1" applyBorder="1"/>
    <xf numFmtId="166" fontId="29" fillId="33" borderId="0" xfId="43" applyNumberFormat="1" applyFont="1" applyFill="1" applyBorder="1" applyAlignment="1">
      <alignment horizontal="right"/>
    </xf>
    <xf numFmtId="0" fontId="29" fillId="33" borderId="0" xfId="42" applyFont="1" applyFill="1"/>
    <xf numFmtId="0" fontId="29" fillId="0" borderId="0" xfId="42" applyFont="1"/>
    <xf numFmtId="0" fontId="26" fillId="0" borderId="0" xfId="42" applyFont="1" applyAlignment="1">
      <alignment vertical="center"/>
    </xf>
    <xf numFmtId="0" fontId="19" fillId="0" borderId="0" xfId="42" applyFont="1" applyBorder="1" applyAlignment="1">
      <alignment horizontal="left" indent="1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 indent="1"/>
    </xf>
    <xf numFmtId="0" fontId="19" fillId="0" borderId="0" xfId="42" applyFont="1" applyFill="1" applyAlignment="1">
      <alignment horizontal="left"/>
    </xf>
    <xf numFmtId="0" fontId="26" fillId="0" borderId="0" xfId="42" applyFont="1" applyBorder="1" applyAlignment="1">
      <alignment horizontal="left"/>
    </xf>
    <xf numFmtId="0" fontId="26" fillId="0" borderId="0" xfId="42" applyFont="1" applyAlignment="1">
      <alignment horizontal="left" indent="1"/>
    </xf>
    <xf numFmtId="0" fontId="26" fillId="0" borderId="0" xfId="42" applyFont="1" applyFill="1" applyBorder="1" applyAlignment="1">
      <alignment horizontal="left" indent="1"/>
    </xf>
    <xf numFmtId="0" fontId="29" fillId="33" borderId="0" xfId="42" applyFont="1" applyFill="1" applyBorder="1" applyAlignment="1">
      <alignment horizontal="left" indent="1"/>
    </xf>
    <xf numFmtId="0" fontId="26" fillId="0" borderId="0" xfId="42" applyFont="1" applyBorder="1" applyAlignment="1">
      <alignment horizontal="left" indent="1"/>
    </xf>
    <xf numFmtId="0" fontId="19" fillId="0" borderId="0" xfId="42" applyFont="1" applyFill="1" applyAlignment="1">
      <alignment horizontal="left" indent="1"/>
    </xf>
    <xf numFmtId="0" fontId="29" fillId="0" borderId="0" xfId="42" applyFont="1" applyFill="1"/>
    <xf numFmtId="0" fontId="30" fillId="0" borderId="0" xfId="42" applyFont="1" applyFill="1"/>
    <xf numFmtId="0" fontId="19" fillId="0" borderId="0" xfId="42" applyFont="1" applyFill="1"/>
    <xf numFmtId="0" fontId="30" fillId="0" borderId="0" xfId="42" applyFont="1"/>
    <xf numFmtId="0" fontId="19" fillId="0" borderId="0" xfId="42" applyFont="1" applyAlignment="1"/>
    <xf numFmtId="0" fontId="19" fillId="0" borderId="0" xfId="42" applyFont="1" applyFill="1" applyAlignment="1"/>
    <xf numFmtId="0" fontId="31" fillId="0" borderId="0" xfId="42" applyFont="1" applyAlignment="1"/>
    <xf numFmtId="0" fontId="31" fillId="0" borderId="0" xfId="42" applyFont="1" applyAlignment="1">
      <alignment horizontal="left"/>
    </xf>
    <xf numFmtId="0" fontId="31" fillId="0" borderId="0" xfId="42" applyFont="1"/>
    <xf numFmtId="0" fontId="32" fillId="0" borderId="0" xfId="42" applyFont="1"/>
    <xf numFmtId="0" fontId="19" fillId="0" borderId="0" xfId="42" applyFont="1" applyBorder="1" applyAlignment="1">
      <alignment horizontal="right"/>
    </xf>
    <xf numFmtId="0" fontId="26" fillId="0" borderId="0" xfId="42" applyFont="1" applyBorder="1" applyAlignment="1">
      <alignment horizontal="right"/>
    </xf>
    <xf numFmtId="164" fontId="23" fillId="0" borderId="0" xfId="0" applyNumberFormat="1" applyFont="1"/>
    <xf numFmtId="0" fontId="26" fillId="0" borderId="13" xfId="42" applyFont="1" applyBorder="1" applyAlignment="1">
      <alignment horizontal="center"/>
    </xf>
    <xf numFmtId="0" fontId="19" fillId="0" borderId="0" xfId="42" applyFont="1" applyAlignment="1">
      <alignment horizontal="left"/>
    </xf>
    <xf numFmtId="0" fontId="26" fillId="0" borderId="0" xfId="42" applyFont="1" applyBorder="1" applyAlignment="1">
      <alignment horizontal="center"/>
    </xf>
    <xf numFmtId="0" fontId="0" fillId="0" borderId="0" xfId="0" pivotButton="1"/>
    <xf numFmtId="0" fontId="26" fillId="0" borderId="0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166" fontId="29" fillId="0" borderId="0" xfId="43" applyNumberFormat="1" applyFont="1" applyFill="1" applyBorder="1" applyAlignment="1">
      <alignment horizontal="right"/>
    </xf>
    <xf numFmtId="0" fontId="30" fillId="33" borderId="0" xfId="42" applyFont="1" applyFill="1"/>
    <xf numFmtId="0" fontId="19" fillId="0" borderId="0" xfId="42" applyFont="1" applyAlignment="1">
      <alignment vertical="center"/>
    </xf>
    <xf numFmtId="0" fontId="31" fillId="0" borderId="0" xfId="42" applyFont="1" applyAlignment="1">
      <alignment vertical="center"/>
    </xf>
    <xf numFmtId="0" fontId="19" fillId="0" borderId="0" xfId="42" applyFont="1" applyFill="1" applyAlignment="1">
      <alignment vertical="center"/>
    </xf>
    <xf numFmtId="0" fontId="31" fillId="0" borderId="0" xfId="42" applyFont="1" applyFill="1" applyAlignment="1">
      <alignment vertical="center"/>
    </xf>
    <xf numFmtId="0" fontId="32" fillId="0" borderId="0" xfId="42" applyFont="1" applyAlignment="1">
      <alignment horizontal="left"/>
    </xf>
    <xf numFmtId="165" fontId="24" fillId="0" borderId="10" xfId="0" applyNumberFormat="1" applyFont="1" applyBorder="1" applyAlignment="1">
      <alignment horizontal="center"/>
    </xf>
    <xf numFmtId="164" fontId="24" fillId="0" borderId="0" xfId="0" applyNumberFormat="1" applyFont="1"/>
    <xf numFmtId="164" fontId="23" fillId="0" borderId="10" xfId="0" applyNumberFormat="1" applyFont="1" applyBorder="1"/>
    <xf numFmtId="2" fontId="24" fillId="0" borderId="0" xfId="47" applyNumberFormat="1" applyFont="1" applyAlignment="1">
      <alignment horizontal="center"/>
    </xf>
    <xf numFmtId="0" fontId="24" fillId="0" borderId="0" xfId="0" applyFont="1" applyFill="1" applyAlignment="1">
      <alignment horizontal="center"/>
    </xf>
    <xf numFmtId="165" fontId="24" fillId="0" borderId="0" xfId="0" applyNumberFormat="1" applyFont="1" applyFill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165" fontId="24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1" fontId="0" fillId="0" borderId="0" xfId="0" applyNumberFormat="1"/>
    <xf numFmtId="0" fontId="24" fillId="0" borderId="0" xfId="0" applyFont="1" applyAlignment="1">
      <alignment horizontal="center"/>
    </xf>
    <xf numFmtId="164" fontId="0" fillId="0" borderId="0" xfId="0" pivotButton="1" applyNumberFormat="1"/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0" fontId="16" fillId="0" borderId="0" xfId="0" applyFont="1"/>
    <xf numFmtId="165" fontId="32" fillId="0" borderId="11" xfId="0" applyNumberFormat="1" applyFont="1" applyBorder="1" applyAlignment="1">
      <alignment horizontal="center"/>
    </xf>
    <xf numFmtId="9" fontId="23" fillId="0" borderId="10" xfId="47" applyFont="1" applyBorder="1"/>
    <xf numFmtId="165" fontId="23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5" fontId="24" fillId="0" borderId="0" xfId="47" applyNumberFormat="1" applyFont="1" applyAlignment="1">
      <alignment horizontal="center"/>
    </xf>
    <xf numFmtId="0" fontId="24" fillId="0" borderId="0" xfId="0" applyFont="1" applyAlignment="1">
      <alignment horizontal="center"/>
    </xf>
    <xf numFmtId="165" fontId="24" fillId="36" borderId="0" xfId="47" applyNumberFormat="1" applyFont="1" applyFill="1" applyAlignment="1">
      <alignment horizontal="center"/>
    </xf>
    <xf numFmtId="2" fontId="24" fillId="36" borderId="0" xfId="47" applyNumberFormat="1" applyFont="1" applyFill="1" applyAlignment="1">
      <alignment horizontal="center"/>
    </xf>
    <xf numFmtId="165" fontId="24" fillId="36" borderId="0" xfId="0" applyNumberFormat="1" applyFont="1" applyFill="1" applyAlignment="1">
      <alignment horizontal="center"/>
    </xf>
    <xf numFmtId="164" fontId="24" fillId="36" borderId="0" xfId="0" applyNumberFormat="1" applyFont="1" applyFill="1" applyAlignment="1">
      <alignment horizontal="center"/>
    </xf>
    <xf numFmtId="165" fontId="24" fillId="36" borderId="10" xfId="0" applyNumberFormat="1" applyFont="1" applyFill="1" applyBorder="1" applyAlignment="1">
      <alignment horizontal="center" wrapText="1"/>
    </xf>
    <xf numFmtId="0" fontId="24" fillId="36" borderId="10" xfId="0" applyFont="1" applyFill="1" applyBorder="1" applyAlignment="1">
      <alignment horizontal="center"/>
    </xf>
    <xf numFmtId="165" fontId="23" fillId="36" borderId="0" xfId="0" applyNumberFormat="1" applyFont="1" applyFill="1" applyAlignment="1">
      <alignment horizontal="center"/>
    </xf>
    <xf numFmtId="0" fontId="23" fillId="36" borderId="0" xfId="0" applyFont="1" applyFill="1" applyAlignment="1">
      <alignment horizontal="center"/>
    </xf>
    <xf numFmtId="164" fontId="23" fillId="36" borderId="0" xfId="0" applyNumberFormat="1" applyFont="1" applyFill="1" applyAlignment="1">
      <alignment horizontal="center"/>
    </xf>
    <xf numFmtId="1" fontId="24" fillId="36" borderId="0" xfId="0" applyNumberFormat="1" applyFont="1" applyFill="1" applyAlignment="1">
      <alignment horizontal="center"/>
    </xf>
    <xf numFmtId="0" fontId="24" fillId="36" borderId="0" xfId="0" applyFont="1" applyFill="1"/>
    <xf numFmtId="1" fontId="24" fillId="36" borderId="10" xfId="0" applyNumberFormat="1" applyFont="1" applyFill="1" applyBorder="1" applyAlignment="1">
      <alignment horizontal="center" wrapText="1"/>
    </xf>
    <xf numFmtId="1" fontId="23" fillId="36" borderId="0" xfId="0" applyNumberFormat="1" applyFont="1" applyFill="1" applyAlignment="1">
      <alignment horizontal="center"/>
    </xf>
    <xf numFmtId="0" fontId="23" fillId="36" borderId="0" xfId="0" applyFont="1" applyFill="1"/>
    <xf numFmtId="0" fontId="23" fillId="0" borderId="10" xfId="0" applyFont="1" applyBorder="1"/>
    <xf numFmtId="0" fontId="24" fillId="0" borderId="0" xfId="0" applyFont="1" applyFill="1"/>
    <xf numFmtId="0" fontId="24" fillId="37" borderId="0" xfId="0" applyFont="1" applyFill="1"/>
    <xf numFmtId="0" fontId="24" fillId="37" borderId="0" xfId="0" applyFont="1" applyFill="1" applyAlignment="1">
      <alignment horizontal="center"/>
    </xf>
    <xf numFmtId="0" fontId="24" fillId="37" borderId="11" xfId="0" applyFont="1" applyFill="1" applyBorder="1" applyAlignment="1">
      <alignment horizontal="center"/>
    </xf>
    <xf numFmtId="165" fontId="24" fillId="37" borderId="0" xfId="0" applyNumberFormat="1" applyFont="1" applyFill="1" applyAlignment="1">
      <alignment horizontal="center"/>
    </xf>
    <xf numFmtId="164" fontId="24" fillId="37" borderId="0" xfId="0" applyNumberFormat="1" applyFont="1" applyFill="1" applyAlignment="1">
      <alignment horizontal="center"/>
    </xf>
    <xf numFmtId="1" fontId="24" fillId="37" borderId="0" xfId="0" applyNumberFormat="1" applyFont="1" applyFill="1" applyAlignment="1">
      <alignment horizontal="center"/>
    </xf>
    <xf numFmtId="165" fontId="24" fillId="37" borderId="1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5" fontId="23" fillId="0" borderId="0" xfId="0" applyNumberFormat="1" applyFont="1" applyFill="1" applyAlignment="1">
      <alignment horizontal="center"/>
    </xf>
    <xf numFmtId="2" fontId="24" fillId="38" borderId="0" xfId="47" applyNumberFormat="1" applyFont="1" applyFill="1" applyAlignment="1">
      <alignment horizontal="center"/>
    </xf>
    <xf numFmtId="164" fontId="24" fillId="38" borderId="0" xfId="0" applyNumberFormat="1" applyFont="1" applyFill="1" applyAlignment="1">
      <alignment horizontal="center"/>
    </xf>
    <xf numFmtId="0" fontId="23" fillId="38" borderId="0" xfId="0" applyFont="1" applyFill="1" applyAlignment="1">
      <alignment horizontal="center"/>
    </xf>
    <xf numFmtId="165" fontId="23" fillId="38" borderId="0" xfId="0" applyNumberFormat="1" applyFont="1" applyFill="1" applyAlignment="1">
      <alignment horizontal="center"/>
    </xf>
    <xf numFmtId="164" fontId="23" fillId="38" borderId="0" xfId="0" applyNumberFormat="1" applyFont="1" applyFill="1" applyAlignment="1">
      <alignment horizontal="center"/>
    </xf>
    <xf numFmtId="0" fontId="23" fillId="38" borderId="0" xfId="0" applyFont="1" applyFill="1"/>
    <xf numFmtId="0" fontId="24" fillId="38" borderId="10" xfId="0" applyFont="1" applyFill="1" applyBorder="1" applyAlignment="1">
      <alignment horizontal="center" wrapText="1"/>
    </xf>
    <xf numFmtId="165" fontId="24" fillId="0" borderId="0" xfId="47" applyNumberFormat="1" applyFont="1" applyFill="1" applyAlignment="1">
      <alignment horizontal="center"/>
    </xf>
    <xf numFmtId="165" fontId="23" fillId="0" borderId="0" xfId="0" applyNumberFormat="1" applyFont="1" applyFill="1"/>
    <xf numFmtId="0" fontId="24" fillId="38" borderId="0" xfId="0" applyFont="1" applyFill="1"/>
    <xf numFmtId="165" fontId="24" fillId="0" borderId="0" xfId="0" applyNumberFormat="1" applyFont="1" applyFill="1"/>
    <xf numFmtId="164" fontId="23" fillId="0" borderId="0" xfId="0" applyNumberFormat="1" applyFont="1" applyFill="1" applyAlignment="1">
      <alignment horizontal="center"/>
    </xf>
    <xf numFmtId="165" fontId="24" fillId="38" borderId="0" xfId="0" applyNumberFormat="1" applyFont="1" applyFill="1" applyAlignment="1">
      <alignment horizontal="center"/>
    </xf>
    <xf numFmtId="164" fontId="24" fillId="35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164" fontId="24" fillId="34" borderId="0" xfId="0" applyNumberFormat="1" applyFont="1" applyFill="1" applyAlignment="1">
      <alignment horizontal="center"/>
    </xf>
    <xf numFmtId="0" fontId="26" fillId="0" borderId="0" xfId="42" applyFont="1" applyBorder="1" applyAlignment="1">
      <alignment horizontal="center"/>
    </xf>
    <xf numFmtId="0" fontId="26" fillId="0" borderId="0" xfId="42" applyFont="1" applyAlignment="1">
      <alignment horizontal="center"/>
    </xf>
    <xf numFmtId="0" fontId="19" fillId="0" borderId="0" xfId="42" applyFont="1" applyAlignment="1">
      <alignment horizontal="center"/>
    </xf>
    <xf numFmtId="0" fontId="26" fillId="0" borderId="13" xfId="42" applyFont="1" applyBorder="1" applyAlignment="1">
      <alignment horizontal="center"/>
    </xf>
    <xf numFmtId="0" fontId="19" fillId="0" borderId="0" xfId="42" applyFont="1" applyAlignment="1">
      <alignment horizontal="left"/>
    </xf>
    <xf numFmtId="0" fontId="19" fillId="0" borderId="0" xfId="42" applyNumberFormat="1" applyFont="1" applyAlignment="1">
      <alignment horizontal="left"/>
    </xf>
    <xf numFmtId="164" fontId="24" fillId="34" borderId="15" xfId="0" applyNumberFormat="1" applyFont="1" applyFill="1" applyBorder="1" applyAlignment="1">
      <alignment horizontal="center"/>
    </xf>
    <xf numFmtId="164" fontId="24" fillId="34" borderId="0" xfId="0" applyNumberFormat="1" applyFont="1" applyFill="1" applyBorder="1" applyAlignment="1">
      <alignment horizontal="center"/>
    </xf>
  </cellXfs>
  <cellStyles count="6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5"/>
    <cellStyle name="Hyperlink 3" xfId="4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7"/>
    <cellStyle name="Normal 11" xfId="54"/>
    <cellStyle name="Normal 12" xfId="58"/>
    <cellStyle name="Normal 13" xfId="59"/>
    <cellStyle name="Normal 14" xfId="60"/>
    <cellStyle name="Normal 15" xfId="61"/>
    <cellStyle name="Normal 2" xfId="44"/>
    <cellStyle name="Normal 3" xfId="42"/>
    <cellStyle name="Normal 3 2" xfId="48"/>
    <cellStyle name="Normal 3 3" xfId="64"/>
    <cellStyle name="Normal 4" xfId="50"/>
    <cellStyle name="Normal 4 2" xfId="63"/>
    <cellStyle name="Normal 5" xfId="51"/>
    <cellStyle name="Normal 6" xfId="52"/>
    <cellStyle name="Normal 7" xfId="53"/>
    <cellStyle name="Normal 8" xfId="55"/>
    <cellStyle name="Normal 9" xfId="56"/>
    <cellStyle name="Note" xfId="15" builtinId="10" customBuiltin="1"/>
    <cellStyle name="Output" xfId="10" builtinId="21" customBuiltin="1"/>
    <cellStyle name="Percent" xfId="47" builtinId="5"/>
    <cellStyle name="Percent 2" xfId="43"/>
    <cellStyle name="Percent 4" xfId="62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av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ivo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v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Awards\Awards%20Officer\MGS\Budget\MGS%20Budget%202016-201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Awards\Awards%20Officer\UMGF\UMGF%20BUDGET\UMGF%20BUDGET%202016-2017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Awards/Awards%20Officer/UMGF/UMGF%20BUDGET/UMGF%20BUDGET%202016-2017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Awards/Awards%20Officer/MGS/Budget/MGS%20Budget%202016-2017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wena Krentz" refreshedDate="42409.672451851853" createdVersion="4" refreshedVersion="4" minRefreshableVersion="3" recordCount="126">
  <cacheSource type="worksheet">
    <worksheetSource ref="A1:N127" sheet="Budget" r:id="rId2"/>
  </cacheSource>
  <cacheFields count="14">
    <cacheField name="Student #" numFmtId="0">
      <sharedItems containsMixedTypes="1" containsNumber="1" containsInteger="1" minValue="6031952" maxValue="7791188"/>
    </cacheField>
    <cacheField name="Status" numFmtId="0">
      <sharedItems/>
    </cacheField>
    <cacheField name="Last Name" numFmtId="0">
      <sharedItems/>
    </cacheField>
    <cacheField name="First Name" numFmtId="0">
      <sharedItems/>
    </cacheField>
    <cacheField name="Department" numFmtId="0">
      <sharedItems count="42">
        <s v="Physics and Astronomy                  "/>
        <s v="Sociology"/>
        <s v="Economics                "/>
        <s v="Mechanical Engineering"/>
        <s v="Electrical and Computer Eng."/>
        <s v="Human Nutritional Sciences"/>
        <s v="Civil Engineering"/>
        <s v="Agribusiness and Agric. Economics"/>
        <s v="Mathematics"/>
        <s v="History"/>
        <s v="City Planning"/>
        <s v="Physical Therapy"/>
        <s v="Environment and Geography                       "/>
        <s v="Psychology                  "/>
        <s v="Biological Sciences"/>
        <s v="Natural Resources Institute      "/>
        <s v="Geological Sciences                          "/>
        <s v="Applied Health Sciences"/>
        <s v="English"/>
        <s v="Occupational Therapy  "/>
        <s v="Educ Admin, Fndns &amp; Psychology      "/>
        <s v="Social Work"/>
        <s v="Architecture"/>
        <s v="Linguistics                 "/>
        <s v="Landscape Architecture                                 "/>
        <s v="Statistics"/>
        <s v="Chemistry"/>
        <s v="Kinesiology and Recreation"/>
        <s v="Medical Rehabilitation"/>
        <s v="Food Science"/>
        <s v="Music"/>
        <s v="Biosystems Engineering"/>
        <s v="Peace &amp; Conflict Studies"/>
        <s v="Biomedical Engineering"/>
        <s v="Political Studies"/>
        <s v="Animal Science"/>
        <s v="Soil Science"/>
        <s v="Law"/>
        <s v="Management  "/>
        <s v="Plant Science"/>
        <s v="Family Social Sciences"/>
        <s v="Interior Design"/>
      </sharedItems>
    </cacheField>
    <cacheField name="Faculty" numFmtId="0">
      <sharedItems/>
    </cacheField>
    <cacheField name="Program" numFmtId="0">
      <sharedItems count="3">
        <s v="MSTR"/>
        <s v="PhD"/>
        <s v="MSTR (JMP)" u="1"/>
      </sharedItems>
    </cacheField>
    <cacheField name="Fiscal Amount" numFmtId="164">
      <sharedItems containsSemiMixedTypes="0" containsString="0" containsNumber="1" containsInteger="1" minValue="2500" maxValue="18000"/>
    </cacheField>
    <cacheField name="Bi-Weekly_x000a_Amount" numFmtId="0">
      <sharedItems containsString="0" containsBlank="1" containsNumber="1" minValue="172.42" maxValue="690.54"/>
    </cacheField>
    <cacheField name="Prog _x000a_Start Date" numFmtId="0">
      <sharedItems containsMixedTypes="1" containsNumber="1" containsInteger="1" minValue="201210" maxValue="201610"/>
    </cacheField>
    <cacheField name="Award _x000a_Start Date" numFmtId="0">
      <sharedItems containsSemiMixedTypes="0" containsNonDate="0" containsDate="1" containsString="0" minDate="2012-05-01T00:00:00" maxDate="2016-01-02T00:00:00"/>
    </cacheField>
    <cacheField name="Award_x000a_End Date" numFmtId="0">
      <sharedItems containsSemiMixedTypes="0" containsNonDate="0" containsDate="1" containsString="0" minDate="2016-08-03T00:00:00" maxDate="2019-01-01T00:00:00"/>
    </cacheField>
    <cacheField name="Max _x000a_Amount" numFmtId="0">
      <sharedItems containsString="0" containsBlank="1" containsNumber="1" minValue="3000" maxValue="72000"/>
    </cacheField>
    <cacheField name="Email" numFmtId="0">
      <sharedItems containsMixedTypes="1" containsNumber="1" containsInteger="1" minValue="54000" maxValue="5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wena Krentz" refreshedDate="42409.672470486112" createdVersion="4" refreshedVersion="4" minRefreshableVersion="3" recordCount="1048575">
  <cacheSource type="worksheet">
    <worksheetSource ref="A1:O1048576" sheet="Budget" r:id="rId2"/>
  </cacheSource>
  <cacheFields count="15">
    <cacheField name="Student #" numFmtId="0">
      <sharedItems containsBlank="1" containsMixedTypes="1" containsNumber="1" containsInteger="1" minValue="5617544" maxValue="7790774"/>
    </cacheField>
    <cacheField name="Status" numFmtId="0">
      <sharedItems containsBlank="1"/>
    </cacheField>
    <cacheField name="Last Name" numFmtId="0">
      <sharedItems containsBlank="1"/>
    </cacheField>
    <cacheField name="First Name" numFmtId="0">
      <sharedItems containsBlank="1" containsMixedTypes="1" containsNumber="1" minValue="280000" maxValue="3210000"/>
    </cacheField>
    <cacheField name="Department" numFmtId="0">
      <sharedItems containsBlank="1" count="79">
        <s v="Pharmacy"/>
        <s v="Nursing"/>
        <s v="Electrical and Computer Eng."/>
        <s v="Physics and Astronomy                  "/>
        <s v="Education"/>
        <s v="Anthropology"/>
        <s v="Mechanical Engineering"/>
        <s v="Physiology &amp; Pathophysiology "/>
        <s v="Human Nutritional Sciences"/>
        <s v="Natural Resources Institute      "/>
        <s v="Community Health Sciences"/>
        <s v="Animal Science"/>
        <s v="Computer Science"/>
        <s v="Geological Sciences                          "/>
        <s v="Architecture"/>
        <s v="Medical Microbiology      "/>
        <s v="Peace &amp; Conflict Studies"/>
        <s v="Environment and Geography                       "/>
        <s v="Psychology                  "/>
        <s v="Mathematics"/>
        <s v="Chemistry"/>
        <s v="Human Anatomy &amp; Cell Science   "/>
        <s v="Pathology"/>
        <s v="Applied Health Sciences"/>
        <s v="Social Work"/>
        <s v="City Planning"/>
        <s v="Management  "/>
        <s v="Entomology"/>
        <s v="Biological Sciences"/>
        <s v="Civil Engineering"/>
        <s v="Microbiology"/>
        <s v="Economics                "/>
        <s v="Statistics"/>
        <s v="Kinesiology and Recreation"/>
        <s v="English"/>
        <s v="Immunology"/>
        <s v="Occupational Therapy  "/>
        <s v="Physical Therapy"/>
        <s v="Plant Science"/>
        <s v="Biomedical Engineering"/>
        <s v="Biochem. and Medical Genetics   "/>
        <s v="Linguistics                 "/>
        <s v="Oral Biology"/>
        <s v="Landscape Architecture                                 "/>
        <s v="Public Administration"/>
        <s v="Soil Science"/>
        <s v="Interior Design"/>
        <s v="Textile Sciences"/>
        <s v="Geography"/>
        <s v="History"/>
        <s v="Native Studies"/>
        <s v="Law"/>
        <s v="Biosystems Engineering"/>
        <s v="Medical Rehabilitation"/>
        <s v="Sociology"/>
        <s v="Pharmacology &amp; Therapeutics      "/>
        <m/>
        <s v="Economics" u="1"/>
        <s v="Electrical &amp; Computer Engineering" u="1"/>
        <s v="Pharmacology &amp; Therapeutics" u="1"/>
        <s v="Biochemistry &amp; Medical Genetics" u="1"/>
        <s v="Electrical &amp; Computer Eng" u="1"/>
        <s v="Human Anatomy &amp; Cell Sc." u="1"/>
        <s v="History (JMP)" u="1"/>
        <s v="Medical Microbiology" u="1"/>
        <s v="Kinesiology &amp; Recreation Mgmt" u="1"/>
        <s v="Landscape Architecture" u="1"/>
        <s v="Natural Resources Institute" u="1"/>
        <s v="Physics &amp; Astronomy" u="1"/>
        <s v="English, Film &amp; Theatre" u="1"/>
        <s v="Public Admnistration (JMP)" u="1"/>
        <s v="Physiology" u="1"/>
        <s v="Geological Sciences" u="1"/>
        <s v="Occupational Therapy" u="1"/>
        <s v="Environment &amp; Geography" u="1"/>
        <s v="Public Administration (JMP)" u="1"/>
        <s v="Psychology" u="1"/>
        <s v="Management" u="1"/>
        <s v="Linguistics" u="1"/>
      </sharedItems>
    </cacheField>
    <cacheField name="Faculty" numFmtId="0">
      <sharedItems containsBlank="1"/>
    </cacheField>
    <cacheField name="Prgm" numFmtId="0">
      <sharedItems containsBlank="1" count="3">
        <m/>
        <s v="MSTR"/>
        <s v="PhD"/>
      </sharedItems>
    </cacheField>
    <cacheField name="Annual Amount_x000a_(Fiscal Year)" numFmtId="0">
      <sharedItems containsString="0" containsBlank="1" containsNumber="1" minValue="4666.67" maxValue="2278000.129999998"/>
    </cacheField>
    <cacheField name="Bi-weekly Payment" numFmtId="0">
      <sharedItems containsString="0" containsBlank="1" containsNumber="1" minValue="287.36" maxValue="727.98"/>
    </cacheField>
    <cacheField name="Prgm Start" numFmtId="0">
      <sharedItems containsBlank="1" containsMixedTypes="1" containsNumber="1" containsInteger="1" minValue="201210" maxValue="201610"/>
    </cacheField>
    <cacheField name="Award Start_x000a_Date" numFmtId="0">
      <sharedItems containsNonDate="0" containsDate="1" containsString="0" containsBlank="1" minDate="2012-09-01T00:00:00" maxDate="2016-01-02T00:00:00"/>
    </cacheField>
    <cacheField name="Award End_x000a_Date" numFmtId="0">
      <sharedItems containsDate="1" containsBlank="1" containsMixedTypes="1" minDate="2016-07-31T00:00:00" maxDate="2019-09-01T00:00:00"/>
    </cacheField>
    <cacheField name="Total Amount" numFmtId="0">
      <sharedItems containsString="0" containsBlank="1" containsNumber="1" minValue="8925" maxValue="72000"/>
    </cacheField>
    <cacheField name="Email Address" numFmtId="0">
      <sharedItems containsBlank="1" containsMixedTypes="1" containsNumber="1" containsInteger="1" minValue="36000" maxValue="36000"/>
    </cacheField>
    <cacheField name="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owena Krentz" refreshedDate="42493.678058449077" createdVersion="4" refreshedVersion="4" minRefreshableVersion="3" recordCount="202">
  <cacheSource type="worksheet">
    <worksheetSource ref="A1:O203" sheet="Budget" r:id="rId2"/>
  </cacheSource>
  <cacheFields count="15">
    <cacheField name="Student #" numFmtId="0">
      <sharedItems containsBlank="1" containsMixedTypes="1" containsNumber="1" containsInteger="1" minValue="5617544" maxValue="7790774"/>
    </cacheField>
    <cacheField name="Status" numFmtId="0">
      <sharedItems/>
    </cacheField>
    <cacheField name="Last Name" numFmtId="0">
      <sharedItems/>
    </cacheField>
    <cacheField name="First Name" numFmtId="0">
      <sharedItems/>
    </cacheField>
    <cacheField name="Department" numFmtId="0">
      <sharedItems count="57">
        <s v="Pharmacy"/>
        <s v="Nursing"/>
        <s v="Electrical and Computer Eng."/>
        <s v="Physics and Astronomy                  "/>
        <s v="Education"/>
        <s v="Linguistics                 "/>
        <s v="Mechanical Engineering"/>
        <s v="Physiology &amp; Pathophysiology "/>
        <s v="English"/>
        <s v="Human Nutritional Sciences"/>
        <s v="Natural Resources Institute      "/>
        <s v="Community Health Sciences"/>
        <s v="Animal Science"/>
        <s v="Computer Science"/>
        <s v="Geological Sciences                          "/>
        <s v="Architecture"/>
        <s v="Medical Microbiology      "/>
        <s v="Peace &amp; Conflict Studies"/>
        <s v="Environment and Geography                       "/>
        <s v="Psychology                  "/>
        <s v="Mathematics"/>
        <s v="Chemistry"/>
        <s v="Human Anatomy &amp; Cell Science   "/>
        <s v="Pathology"/>
        <s v="Applied Health Sciences"/>
        <s v="Social Work"/>
        <s v="Sociology"/>
        <s v="City Planning"/>
        <s v="Management  "/>
        <s v="Entomology"/>
        <s v="Biological Sciences"/>
        <s v="Civil Engineering"/>
        <s v="Microbiology"/>
        <s v="Statistics"/>
        <s v="Kinesiology and Recreation"/>
        <s v="Economics                "/>
        <s v="Immunology"/>
        <s v="Occupational Therapy  "/>
        <s v="Physical Therapy"/>
        <s v="Plant Science"/>
        <s v="Biomedical Engineering"/>
        <s v="Biochem. and Medical Genetics   "/>
        <s v="Native Studies"/>
        <s v="Oral Biology"/>
        <s v="Landscape Architecture                                 "/>
        <s v="Public Administration"/>
        <s v="Soil Science"/>
        <s v="Interior Design"/>
        <s v="Anthropology"/>
        <s v="Textile Sciences"/>
        <s v="History"/>
        <s v="Fine Arts"/>
        <s v="Law"/>
        <s v="Biosystems Engineering"/>
        <s v="Medical Rehabilitation"/>
        <s v="Pharmacology &amp; Therapeutics      "/>
        <s v="Geography" u="1"/>
      </sharedItems>
    </cacheField>
    <cacheField name="Faculty" numFmtId="0">
      <sharedItems/>
    </cacheField>
    <cacheField name="Prgm" numFmtId="0">
      <sharedItems containsBlank="1" count="3">
        <m/>
        <s v="MSTR"/>
        <s v="PhD"/>
      </sharedItems>
    </cacheField>
    <cacheField name="Annual Amount_x000a_(Fiscal Year)" numFmtId="0">
      <sharedItems containsString="0" containsBlank="1" containsNumber="1" minValue="4666.67" maxValue="18000"/>
    </cacheField>
    <cacheField name="Bi-weekly Payment" numFmtId="0">
      <sharedItems containsString="0" containsBlank="1" containsNumber="1" minValue="287.36" maxValue="727.98"/>
    </cacheField>
    <cacheField name="Prgm Start" numFmtId="0">
      <sharedItems containsBlank="1" containsMixedTypes="1" containsNumber="1" containsInteger="1" minValue="201210" maxValue="201610"/>
    </cacheField>
    <cacheField name="Award Start_x000a_Date" numFmtId="0">
      <sharedItems containsNonDate="0" containsDate="1" containsString="0" containsBlank="1" minDate="2012-09-01T00:00:00" maxDate="2016-01-02T00:00:00"/>
    </cacheField>
    <cacheField name="Award End_x000a_Date" numFmtId="0">
      <sharedItems containsDate="1" containsBlank="1" containsMixedTypes="1" minDate="2016-04-30T00:00:00" maxDate="2019-09-01T00:00:00"/>
    </cacheField>
    <cacheField name="Total Amount" numFmtId="0">
      <sharedItems containsString="0" containsBlank="1" containsNumber="1" minValue="8925" maxValue="72000"/>
    </cacheField>
    <cacheField name="Email Address" numFmtId="0">
      <sharedItems containsBlank="1"/>
    </cacheField>
    <cacheField name="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owena Krentz" refreshedDate="42493.678059143516" createdVersion="4" refreshedVersion="4" minRefreshableVersion="3" recordCount="125">
  <cacheSource type="worksheet">
    <worksheetSource ref="A1:N126" sheet="Budget" r:id="rId2"/>
  </cacheSource>
  <cacheFields count="14">
    <cacheField name="Student #" numFmtId="0">
      <sharedItems containsMixedTypes="1" containsNumber="1" containsInteger="1" minValue="6031952" maxValue="7791188"/>
    </cacheField>
    <cacheField name="Status" numFmtId="0">
      <sharedItems/>
    </cacheField>
    <cacheField name="Last Name" numFmtId="0">
      <sharedItems/>
    </cacheField>
    <cacheField name="First Name" numFmtId="0">
      <sharedItems/>
    </cacheField>
    <cacheField name="Department" numFmtId="0">
      <sharedItems count="42">
        <s v="Physics and Astronomy                  "/>
        <s v="Sociology"/>
        <s v="Economics                "/>
        <s v="Mechanical Engineering"/>
        <s v="Electrical and Computer Eng."/>
        <s v="Human Nutritional Sciences"/>
        <s v="Civil Engineering"/>
        <s v="Agribusiness and Agric. Economics"/>
        <s v="Mathematics"/>
        <s v="History"/>
        <s v="City Planning"/>
        <s v="Physical Therapy"/>
        <s v="Environment and Geography                       "/>
        <s v="Psychology                  "/>
        <s v="Biological Sciences"/>
        <s v="Natural Resources Institute      "/>
        <s v="Geological Sciences                          "/>
        <s v="Applied Health Sciences"/>
        <s v="English"/>
        <s v="Occupational Therapy  "/>
        <s v="Educ Admin, Fndns &amp; Psychology      "/>
        <s v="Social Work"/>
        <s v="Architecture"/>
        <s v="Linguistics                 "/>
        <s v="Landscape Architecture                                 "/>
        <s v="Statistics"/>
        <s v="Chemistry"/>
        <s v="Kinesiology and Recreation"/>
        <s v="Medical Rehabilitation"/>
        <s v="Food Science"/>
        <s v="Music"/>
        <s v="Biosystems Engineering"/>
        <s v="Peace &amp; Conflict Studies"/>
        <s v="Biomedical Engineering"/>
        <s v="Political Studies"/>
        <s v="Animal Science"/>
        <s v="Soil Science"/>
        <s v="Law"/>
        <s v="Management  "/>
        <s v="Plant Science"/>
        <s v="Family Social Sciences"/>
        <s v="Interior Design"/>
      </sharedItems>
    </cacheField>
    <cacheField name="Faculty" numFmtId="0">
      <sharedItems/>
    </cacheField>
    <cacheField name="Program" numFmtId="0">
      <sharedItems count="3">
        <s v="MSTR"/>
        <s v="PhD"/>
        <s v="MSTR (JMP)" u="1"/>
      </sharedItems>
    </cacheField>
    <cacheField name="Fiscal Amount" numFmtId="164">
      <sharedItems containsSemiMixedTypes="0" containsString="0" containsNumber="1" containsInteger="1" minValue="0" maxValue="18000"/>
    </cacheField>
    <cacheField name="Bi-Weekly_x000a_Amount" numFmtId="0">
      <sharedItems containsString="0" containsBlank="1" containsNumber="1" minValue="172.42" maxValue="690.54"/>
    </cacheField>
    <cacheField name="Prog _x000a_Start Date" numFmtId="0">
      <sharedItems containsMixedTypes="1" containsNumber="1" containsInteger="1" minValue="201210" maxValue="201610"/>
    </cacheField>
    <cacheField name="Award _x000a_Start Date" numFmtId="0">
      <sharedItems containsSemiMixedTypes="0" containsNonDate="0" containsDate="1" containsString="0" minDate="2012-05-01T00:00:00" maxDate="2016-01-02T00:00:00"/>
    </cacheField>
    <cacheField name="Award_x000a_End Date" numFmtId="0">
      <sharedItems containsSemiMixedTypes="0" containsNonDate="0" containsDate="1" containsString="0" minDate="2016-04-30T00:00:00" maxDate="2019-01-01T00:00:00"/>
    </cacheField>
    <cacheField name="Max _x000a_Amount" numFmtId="0">
      <sharedItems containsString="0" containsBlank="1" containsNumber="1" minValue="1000" maxValue="72000"/>
    </cacheField>
    <cacheField name="Email" numFmtId="0">
      <sharedItems containsMixedTypes="1" containsNumber="1" containsInteger="1" minValue="54000" maxValue="5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s v="7771375"/>
    <s v="R"/>
    <s v="Abbasian"/>
    <s v="Parandoush"/>
    <x v="0"/>
    <s v="Science"/>
    <x v="0"/>
    <n v="5000"/>
    <m/>
    <n v="201490"/>
    <d v="2015-09-01T00:00:00"/>
    <d v="2016-08-31T00:00:00"/>
    <n v="15000"/>
    <s v="abbasiap@myumanitoba.ca "/>
  </r>
  <r>
    <s v="7788286"/>
    <s v="R"/>
    <s v="Abdul-Karim"/>
    <s v="Abdul-Basi"/>
    <x v="1"/>
    <s v="Arts"/>
    <x v="0"/>
    <n v="15000"/>
    <m/>
    <n v="201590"/>
    <d v="2015-09-01T00:00:00"/>
    <d v="2017-08-31T00:00:00"/>
    <n v="30000"/>
    <s v="abdulkaa@myumanitoba.ca "/>
  </r>
  <r>
    <s v="7789328"/>
    <s v="R"/>
    <s v="Agyei Asiamah"/>
    <s v="Henrietta"/>
    <x v="2"/>
    <s v="Arts"/>
    <x v="0"/>
    <n v="15000"/>
    <m/>
    <n v="201590"/>
    <d v="2015-09-01T00:00:00"/>
    <d v="2017-08-31T00:00:00"/>
    <n v="30000"/>
    <s v="agyeiash@myumanitoba.ca "/>
  </r>
  <r>
    <s v="7766490"/>
    <s v="R"/>
    <s v="Ahmed"/>
    <s v="Sharif"/>
    <x v="3"/>
    <s v="Engineering"/>
    <x v="0"/>
    <n v="5000"/>
    <m/>
    <n v="201490"/>
    <d v="2015-09-01T00:00:00"/>
    <d v="2016-08-31T00:00:00"/>
    <n v="15000"/>
    <s v="ahmeds37@myumanitoba.ca "/>
  </r>
  <r>
    <n v="7660342"/>
    <s v="R"/>
    <s v="A-iyeh"/>
    <s v="Enoch"/>
    <x v="4"/>
    <s v="Engineering"/>
    <x v="1"/>
    <n v="18000"/>
    <n v="689.66"/>
    <n v="201310"/>
    <d v="2014-05-01T00:00:00"/>
    <d v="2017-12-31T00:00:00"/>
    <n v="54000"/>
    <s v="umaiyeh@myumanitoba.ca"/>
  </r>
  <r>
    <n v="7716305"/>
    <s v="R"/>
    <s v="Alphonse"/>
    <s v="Peter"/>
    <x v="5"/>
    <s v="Agricultural &amp; Food Sciences      "/>
    <x v="1"/>
    <n v="5000"/>
    <n v="287.36"/>
    <n v="201310"/>
    <d v="2013-01-01T00:00:00"/>
    <d v="2016-12-31T00:00:00"/>
    <n v="30000"/>
    <s v="sujithap@myumanitoba.ca"/>
  </r>
  <r>
    <n v="7781789"/>
    <s v="R"/>
    <s v="Amin"/>
    <s v="Mahmud"/>
    <x v="6"/>
    <s v="Engineering"/>
    <x v="0"/>
    <n v="15000"/>
    <m/>
    <n v="201510"/>
    <d v="2015-05-01T00:00:00"/>
    <d v="2017-04-30T00:00:00"/>
    <n v="30000"/>
    <s v="aminm@myumanitoba.ca"/>
  </r>
  <r>
    <n v="7765158"/>
    <s v="R"/>
    <s v="Ampenyin"/>
    <s v="Lawrence"/>
    <x v="7"/>
    <s v="Agricultural &amp; Food Sciences      "/>
    <x v="0"/>
    <n v="5000"/>
    <n v="573.62"/>
    <s v="201190"/>
    <d v="2014-09-01T00:00:00"/>
    <d v="2016-08-31T00:00:00"/>
    <n v="30000"/>
    <s v="ampenyil@myumanitoba.ca"/>
  </r>
  <r>
    <n v="7691203"/>
    <s v="R"/>
    <s v="Arman"/>
    <s v="Andrii"/>
    <x v="8"/>
    <s v="Science"/>
    <x v="1"/>
    <n v="18000"/>
    <n v="688.88"/>
    <s v="201390"/>
    <d v="2013-09-01T00:00:00"/>
    <d v="2017-08-31T00:00:00"/>
    <n v="70666.67"/>
    <s v="armana@myumanitoba.ca"/>
  </r>
  <r>
    <n v="7605281"/>
    <s v="R"/>
    <s v="Banthia"/>
    <s v="Vikram"/>
    <x v="3"/>
    <s v="Engineering"/>
    <x v="1"/>
    <n v="12000"/>
    <n v="688.68"/>
    <s v="201290"/>
    <d v="2014-05-01T00:00:00"/>
    <d v="2016-12-31T00:00:00"/>
    <n v="42666.67"/>
    <s v="umbanthv@myumanitoba.ca"/>
  </r>
  <r>
    <n v="7713762"/>
    <s v="R"/>
    <s v="Barclay"/>
    <s v="Kirsta Lynne"/>
    <x v="9"/>
    <s v="Arts"/>
    <x v="1"/>
    <n v="2500"/>
    <n v="287.64"/>
    <s v="201290"/>
    <d v="2012-09-01T00:00:00"/>
    <d v="2016-08-31T00:00:00"/>
    <n v="30000"/>
    <s v="barclayk@myumanitoba.ca"/>
  </r>
  <r>
    <n v="7691202"/>
    <s v="R"/>
    <s v="Bilokopytov"/>
    <s v="Ievgen"/>
    <x v="8"/>
    <s v="Science"/>
    <x v="1"/>
    <n v="18000"/>
    <n v="688.88"/>
    <s v="201390"/>
    <d v="2013-09-01T00:00:00"/>
    <d v="2017-08-31T00:00:00"/>
    <n v="70666.67"/>
    <s v="bilokopi@cc.umanitoba.ca"/>
  </r>
  <r>
    <s v="7693230"/>
    <s v="R"/>
    <s v="Blumenschein"/>
    <s v="Larissa"/>
    <x v="10"/>
    <s v="Architecture (Faculty)"/>
    <x v="0"/>
    <n v="15000"/>
    <m/>
    <n v="201590"/>
    <d v="2015-09-01T00:00:00"/>
    <d v="2017-08-31T00:00:00"/>
    <n v="30000"/>
    <s v="blumensl@cc.umanitoba.ca "/>
  </r>
  <r>
    <s v="7718278"/>
    <s v="R"/>
    <s v="Braun"/>
    <s v="Stacey"/>
    <x v="11"/>
    <s v="Rehabilitation Sciences, College of "/>
    <x v="0"/>
    <n v="15000"/>
    <m/>
    <n v="201590"/>
    <d v="2015-09-01T00:00:00"/>
    <d v="2017-08-31T00:00:00"/>
    <n v="30000"/>
    <s v="brauns3@myumanitoba.ca"/>
  </r>
  <r>
    <s v="7776534"/>
    <s v="R"/>
    <s v="Brewster"/>
    <s v="Jasmine"/>
    <x v="12"/>
    <s v="Clayton H. Riddell Faculty of             "/>
    <x v="0"/>
    <n v="5000"/>
    <m/>
    <n v="201490"/>
    <d v="2015-09-01T00:00:00"/>
    <d v="2016-08-31T00:00:00"/>
    <n v="15000"/>
    <s v="brewste3@myumanitoba.ca "/>
  </r>
  <r>
    <n v="6840933"/>
    <s v="R"/>
    <s v="Campbell"/>
    <s v="Karley Lynn"/>
    <x v="12"/>
    <s v="Clayton H. Riddell Faculty of             "/>
    <x v="1"/>
    <n v="2500"/>
    <n v="287.64"/>
    <s v="201290"/>
    <d v="2012-09-01T00:00:00"/>
    <d v="2016-08-31T00:00:00"/>
    <n v="30000"/>
    <s v="umcampb2@myumanitoba.ca"/>
  </r>
  <r>
    <n v="6797113"/>
    <s v="R"/>
    <s v="Conway"/>
    <s v="Tara  "/>
    <x v="13"/>
    <s v="Arts"/>
    <x v="1"/>
    <n v="18000"/>
    <n v="690.54"/>
    <n v="201510"/>
    <d v="2015-01-01T00:00:00"/>
    <d v="2017-12-31T00:00:00"/>
    <m/>
    <n v="54000"/>
  </r>
  <r>
    <s v="7792350"/>
    <s v="R"/>
    <s v="Cruz Lopez"/>
    <s v="Carlos"/>
    <x v="14"/>
    <s v="Science"/>
    <x v="0"/>
    <n v="15000"/>
    <m/>
    <n v="201590"/>
    <d v="2015-09-01T00:00:00"/>
    <d v="2017-08-31T00:00:00"/>
    <n v="30000"/>
    <s v="cruzloca@cc.umanitoba.ca "/>
  </r>
  <r>
    <s v="7799058"/>
    <s v="R"/>
    <s v="Cyr"/>
    <s v="Marie-Eve"/>
    <x v="15"/>
    <s v="Clayton H. Riddell Faculty of             "/>
    <x v="0"/>
    <n v="15000"/>
    <m/>
    <n v="201590"/>
    <d v="2015-09-01T00:00:00"/>
    <d v="2017-08-31T00:00:00"/>
    <n v="30000"/>
    <s v="cyrm345@myumanitoba.ca "/>
  </r>
  <r>
    <n v="7670732"/>
    <s v="R"/>
    <s v="Day"/>
    <s v="Maxwell"/>
    <x v="16"/>
    <s v="Clayton H. Riddell Faculty of             "/>
    <x v="0"/>
    <n v="15000"/>
    <m/>
    <n v="201610"/>
    <d v="2016-01-01T00:00:00"/>
    <d v="2017-12-31T00:00:00"/>
    <n v="30000"/>
    <s v="umday23@cc.umanitoba.ca"/>
  </r>
  <r>
    <n v="7750938"/>
    <s v="R"/>
    <s v="Delara"/>
    <s v="Mahin"/>
    <x v="17"/>
    <s v="Graduate Studies"/>
    <x v="1"/>
    <n v="7500"/>
    <n v="613.04"/>
    <s v="201390"/>
    <d v="2013-09-01T00:00:00"/>
    <d v="2017-08-31T00:00:00"/>
    <m/>
    <s v="delaram@myumanitoba.ca"/>
  </r>
  <r>
    <s v="7668238"/>
    <s v="R"/>
    <s v="Desmarais"/>
    <s v="Colin"/>
    <x v="8"/>
    <s v="Science"/>
    <x v="0"/>
    <n v="15000"/>
    <m/>
    <n v="201590"/>
    <d v="2015-09-01T00:00:00"/>
    <d v="2017-08-31T00:00:00"/>
    <n v="30000"/>
    <s v="umdesmac@myumanitoba.ca "/>
  </r>
  <r>
    <n v="7616206"/>
    <s v="R"/>
    <s v="Dokurno"/>
    <s v="Karalyn"/>
    <x v="18"/>
    <s v="Arts"/>
    <x v="1"/>
    <n v="2500"/>
    <n v="287.64"/>
    <s v="201290"/>
    <d v="2012-09-01T00:00:00"/>
    <d v="2016-08-31T00:00:00"/>
    <n v="30000"/>
    <s v="umdokurn@myumanitoba.ca"/>
  </r>
  <r>
    <s v="6792025"/>
    <s v="R"/>
    <s v="Doms"/>
    <s v="Christopher"/>
    <x v="19"/>
    <s v="Rehabilitation Sciences, College of "/>
    <x v="0"/>
    <n v="15000"/>
    <m/>
    <n v="201590"/>
    <d v="2015-09-01T00:00:00"/>
    <d v="2017-08-31T00:00:00"/>
    <n v="30000"/>
    <s v="umdoms@myumanitoba.ca "/>
  </r>
  <r>
    <n v="7680441"/>
    <s v="R"/>
    <s v="Dowle"/>
    <s v="Doug"/>
    <x v="1"/>
    <s v="Arts"/>
    <x v="0"/>
    <n v="5000"/>
    <n v="573.62"/>
    <s v="201290"/>
    <d v="2014-09-01T00:00:00"/>
    <d v="2016-08-31T00:00:00"/>
    <n v="30000"/>
    <s v="umdowle3@myumanitoba.ca"/>
  </r>
  <r>
    <s v="7790999"/>
    <s v="R"/>
    <s v="Draper"/>
    <s v="Catherine"/>
    <x v="20"/>
    <s v="Education"/>
    <x v="0"/>
    <n v="15000"/>
    <m/>
    <n v="201590"/>
    <d v="2015-09-01T00:00:00"/>
    <d v="2017-08-31T00:00:00"/>
    <n v="30000"/>
    <s v="draperc@myumanitoba.ca"/>
  </r>
  <r>
    <s v="7630322"/>
    <s v="R"/>
    <s v="Dudok"/>
    <s v="Stephanie"/>
    <x v="13"/>
    <s v="Arts"/>
    <x v="0"/>
    <n v="15000"/>
    <m/>
    <n v="201590"/>
    <d v="2015-09-01T00:00:00"/>
    <d v="2017-08-31T00:00:00"/>
    <n v="30000"/>
    <s v="dudoks3@myumanitoba.ca "/>
  </r>
  <r>
    <s v="6798622"/>
    <s v="R"/>
    <s v="Dueck"/>
    <s v="Steve"/>
    <x v="9"/>
    <s v="Arts"/>
    <x v="0"/>
    <n v="5000"/>
    <m/>
    <n v="201490"/>
    <d v="2015-09-01T00:00:00"/>
    <d v="2016-08-03T00:00:00"/>
    <n v="30000"/>
    <s v="duecks38@myumanitoba.ca"/>
  </r>
  <r>
    <n v="7723291"/>
    <s v="R"/>
    <s v="Dyck"/>
    <s v="Jessica"/>
    <x v="11"/>
    <s v="Rehabilitation Sciences, College of "/>
    <x v="0"/>
    <n v="5000"/>
    <n v="573.62"/>
    <s v="201150"/>
    <d v="2014-09-01T00:00:00"/>
    <d v="2016-08-31T00:00:00"/>
    <n v="30000"/>
    <s v="dyckj317@myumanitoba.ca"/>
  </r>
  <r>
    <n v="7764045"/>
    <s v="R"/>
    <s v="Eibna Halim"/>
    <s v="Md. Zubaer"/>
    <x v="4"/>
    <s v="Engineering"/>
    <x v="0"/>
    <n v="5000"/>
    <n v="573.62"/>
    <s v="201290"/>
    <d v="2014-09-01T00:00:00"/>
    <d v="2016-08-31T00:00:00"/>
    <n v="30000"/>
    <s v="eibnahmz@myumanitoba.ca"/>
  </r>
  <r>
    <n v="7705863"/>
    <s v="R"/>
    <s v="ElGendy"/>
    <s v="Mohammed"/>
    <x v="6"/>
    <s v="Engineering"/>
    <x v="1"/>
    <n v="18000"/>
    <n v="690.32"/>
    <n v="201510"/>
    <d v="2015-01-01T00:00:00"/>
    <d v="2018-12-31T00:00:00"/>
    <n v="72000"/>
    <s v="elgendym@cc.umanitoba.ca"/>
  </r>
  <r>
    <n v="7676754"/>
    <s v="R"/>
    <s v="Eliasova"/>
    <s v="Veronika"/>
    <x v="1"/>
    <s v="Arts"/>
    <x v="0"/>
    <n v="5000"/>
    <n v="573.62"/>
    <s v="201410"/>
    <d v="2014-09-01T00:00:00"/>
    <d v="2016-08-31T00:00:00"/>
    <n v="30000"/>
    <s v="umeliasv@myumanitoba.ca"/>
  </r>
  <r>
    <s v="7667911"/>
    <s v="R"/>
    <s v="Epp"/>
    <s v="Tyler"/>
    <x v="6"/>
    <s v="Engineering"/>
    <x v="0"/>
    <n v="5000"/>
    <m/>
    <n v="201590"/>
    <d v="2015-09-01T00:00:00"/>
    <d v="2016-08-31T00:00:00"/>
    <n v="30000"/>
    <s v="umeppt@myumanitoba.ca "/>
  </r>
  <r>
    <n v="7701536"/>
    <s v="R"/>
    <s v="Essel"/>
    <s v="Ebenezer Ekow"/>
    <x v="3"/>
    <s v="Engineering"/>
    <x v="1"/>
    <n v="12000"/>
    <n v="688.68"/>
    <s v="201410"/>
    <d v="2014-01-01T00:00:00"/>
    <d v="2016-12-31T00:00:00"/>
    <n v="53333.34"/>
    <s v="essele@myumanitoba.ca"/>
  </r>
  <r>
    <s v="7649938"/>
    <s v="R"/>
    <s v="Eyer"/>
    <s v="Robyn"/>
    <x v="11"/>
    <s v="Rehabilitation Sciences, College of "/>
    <x v="0"/>
    <n v="15000"/>
    <m/>
    <n v="201590"/>
    <d v="2015-09-01T00:00:00"/>
    <d v="2017-08-31T00:00:00"/>
    <n v="30000"/>
    <s v="umeyerr@myumanitoba.ca"/>
  </r>
  <r>
    <n v="7778419"/>
    <s v="R"/>
    <s v="Faisal"/>
    <s v="Farjana"/>
    <x v="3"/>
    <s v="Engineering"/>
    <x v="0"/>
    <n v="15000"/>
    <n v="537.44000000000005"/>
    <n v="201510"/>
    <d v="2015-05-01T00:00:00"/>
    <d v="2017-04-30T00:00:00"/>
    <n v="30000"/>
    <s v="faisalf@myumanitoba.ca"/>
  </r>
  <r>
    <n v="7765606"/>
    <s v="R"/>
    <s v="Feng"/>
    <s v="Qiwei"/>
    <x v="8"/>
    <s v="Science"/>
    <x v="0"/>
    <n v="15000"/>
    <n v="591.19000000000005"/>
    <n v="201510"/>
    <d v="2015-05-01T00:00:00"/>
    <d v="2017-04-30T00:00:00"/>
    <n v="28000"/>
    <s v="fengq@myumanitoba.ca"/>
  </r>
  <r>
    <s v="6845956"/>
    <s v="R"/>
    <s v="Fontaine"/>
    <s v="Rikki"/>
    <x v="21"/>
    <s v="Social Work (Faculty)"/>
    <x v="0"/>
    <n v="15000"/>
    <m/>
    <n v="201590"/>
    <d v="2015-09-01T00:00:00"/>
    <d v="2017-08-31T00:00:00"/>
    <n v="30000"/>
    <s v="fontai30@myumanitoba.ca "/>
  </r>
  <r>
    <n v="6854615"/>
    <s v="R"/>
    <s v="Girard"/>
    <s v="Ian "/>
    <x v="14"/>
    <s v="Science"/>
    <x v="0"/>
    <n v="5000"/>
    <m/>
    <n v="201450"/>
    <d v="2015-09-01T00:00:00"/>
    <d v="2016-08-31T00:00:00"/>
    <n v="15000"/>
    <s v="umgirari@myumanitoba.ca"/>
  </r>
  <r>
    <n v="7637108"/>
    <s v="R"/>
    <s v="Griffin"/>
    <s v="Keelin"/>
    <x v="1"/>
    <s v="Arts"/>
    <x v="0"/>
    <n v="15000"/>
    <m/>
    <n v="201590"/>
    <d v="2015-09-01T00:00:00"/>
    <d v="2017-08-31T00:00:00"/>
    <n v="30000"/>
    <s v="umgrif37@myumanitoba.ca"/>
  </r>
  <r>
    <s v="7743298"/>
    <s v="R"/>
    <s v="Groening"/>
    <s v="Allison"/>
    <x v="21"/>
    <s v="Social Work (Faculty)"/>
    <x v="0"/>
    <n v="15000"/>
    <m/>
    <n v="201590"/>
    <d v="2015-09-01T00:00:00"/>
    <d v="2017-08-31T00:00:00"/>
    <n v="30000"/>
    <s v="groenin4@myumanitoba.ca"/>
  </r>
  <r>
    <s v="7789376"/>
    <s v="R"/>
    <s v="Haghshenaslari"/>
    <s v="Maryam"/>
    <x v="22"/>
    <s v="Architecture (Faculty)"/>
    <x v="0"/>
    <n v="15000"/>
    <m/>
    <n v="201590"/>
    <d v="2015-09-01T00:00:00"/>
    <d v="2017-08-31T00:00:00"/>
    <n v="30000"/>
    <s v="haghshem@myumanitoba.ca "/>
  </r>
  <r>
    <n v="7642226"/>
    <s v="R"/>
    <s v="Hamidzadeh"/>
    <s v="Khashayar"/>
    <x v="23"/>
    <s v="Arts"/>
    <x v="1"/>
    <n v="18000"/>
    <n v="689.66"/>
    <s v="201390"/>
    <d v="2014-01-01T00:00:00"/>
    <d v="2017-12-31T00:00:00"/>
    <n v="71333.34"/>
    <s v="umhamidk@myumanitoba.ca"/>
  </r>
  <r>
    <s v="7727617"/>
    <s v="R"/>
    <s v="Harder"/>
    <s v="Alysha"/>
    <x v="19"/>
    <s v="Rehabilitation Sciences, College of "/>
    <x v="0"/>
    <n v="15000"/>
    <m/>
    <n v="201590"/>
    <d v="2015-09-01T00:00:00"/>
    <d v="2017-08-31T00:00:00"/>
    <n v="30000"/>
    <s v="hardera4@myumanitoba.ca "/>
  </r>
  <r>
    <s v="7794864"/>
    <s v="R"/>
    <s v="Heathcote"/>
    <s v="Alexandra"/>
    <x v="15"/>
    <s v="Clayton H. Riddell Faculty of             "/>
    <x v="0"/>
    <n v="15000"/>
    <m/>
    <n v="201590"/>
    <d v="2015-09-01T00:00:00"/>
    <d v="2017-08-31T00:00:00"/>
    <n v="3000"/>
    <s v="Alexandra.Heathcote@umanitoba.ca"/>
  </r>
  <r>
    <s v="7686566"/>
    <s v="R"/>
    <s v="Hilder"/>
    <s v="Jane"/>
    <x v="24"/>
    <s v="Architecture (Faculty)"/>
    <x v="0"/>
    <n v="15000"/>
    <m/>
    <n v="201590"/>
    <d v="2015-09-01T00:00:00"/>
    <d v="2017-08-31T00:00:00"/>
    <n v="30000"/>
    <s v="jane.hilder@umanitoba.ca"/>
  </r>
  <r>
    <n v="7747370"/>
    <s v="R"/>
    <s v="Hoque "/>
    <s v="Md. Erfanul"/>
    <x v="25"/>
    <s v="Science"/>
    <x v="0"/>
    <n v="5000"/>
    <n v="573.62"/>
    <s v="201390"/>
    <d v="2014-09-01T00:00:00"/>
    <d v="2016-08-31T00:00:00"/>
    <n v="30000"/>
    <s v="hoqueme@myumanitoba.ca"/>
  </r>
  <r>
    <n v="7732833"/>
    <s v="R"/>
    <s v="Huang"/>
    <s v="Shiwei"/>
    <x v="4"/>
    <s v="Engineering"/>
    <x v="1"/>
    <n v="18000"/>
    <n v="688.88"/>
    <s v="201390"/>
    <d v="2013-09-01T00:00:00"/>
    <d v="2017-08-31T00:00:00"/>
    <n v="70666.67"/>
    <s v="huangs37@myumanitoba.ca"/>
  </r>
  <r>
    <n v="7619393"/>
    <s v="R"/>
    <s v="Hutchings"/>
    <s v="Roy"/>
    <x v="26"/>
    <s v="Science"/>
    <x v="0"/>
    <n v="15000"/>
    <m/>
    <n v="201510"/>
    <d v="2015-05-01T00:00:00"/>
    <d v="2017-04-30T00:00:00"/>
    <n v="30000"/>
    <s v="umhutchr@cc.umanitoba.ca"/>
  </r>
  <r>
    <s v="7615054"/>
    <s v="R"/>
    <s v="Hutton"/>
    <s v="Jaxon Rae"/>
    <x v="27"/>
    <s v="Kinesiology &amp; Recreation Management "/>
    <x v="0"/>
    <n v="15000"/>
    <m/>
    <n v="201590"/>
    <d v="2015-09-01T00:00:00"/>
    <d v="2017-08-31T00:00:00"/>
    <n v="30000"/>
    <s v="umhutto3@cc.umanitoba.ca "/>
  </r>
  <r>
    <n v="7772150"/>
    <s v="R"/>
    <s v="Imran"/>
    <s v="Zoya"/>
    <x v="28"/>
    <s v="Rehabilitation Sciences, College of "/>
    <x v="0"/>
    <n v="5000"/>
    <n v="573.62"/>
    <s v="200990"/>
    <d v="2014-09-01T00:00:00"/>
    <d v="2016-08-31T00:00:00"/>
    <n v="30000"/>
    <s v="imranz@myumanitoba.ca"/>
  </r>
  <r>
    <s v="7617606"/>
    <s v="R"/>
    <s v="Isaak"/>
    <s v="Carly"/>
    <x v="29"/>
    <s v="Agricultural &amp; Food Sciences      "/>
    <x v="0"/>
    <n v="15000"/>
    <m/>
    <n v="201510"/>
    <d v="2015-05-01T00:00:00"/>
    <d v="2017-04-30T00:00:00"/>
    <n v="30000"/>
    <s v="umisaak4@cc.umanitoba.ca"/>
  </r>
  <r>
    <n v="7741089"/>
    <s v="R"/>
    <s v="Islam"/>
    <s v="Md. Anisul"/>
    <x v="3"/>
    <s v="Engineering"/>
    <x v="0"/>
    <n v="15000"/>
    <n v="689.66"/>
    <n v="201410"/>
    <d v="2014-01-01T00:00:00"/>
    <d v="2017-12-31T00:00:00"/>
    <n v="71333.36"/>
    <s v="islamma@myumanitoba.ca"/>
  </r>
  <r>
    <n v="7791188"/>
    <s v="R"/>
    <s v="Islam"/>
    <s v="Md. Ariful"/>
    <x v="5"/>
    <s v="Agricultural &amp; Food Sciences      "/>
    <x v="0"/>
    <n v="15000"/>
    <m/>
    <n v="201590"/>
    <d v="2015-09-01T00:00:00"/>
    <d v="2017-08-31T00:00:00"/>
    <n v="30000"/>
    <s v="islamma5@myumanitoba.ca"/>
  </r>
  <r>
    <s v="7785492"/>
    <s v="R"/>
    <s v="Jensen"/>
    <s v="Mikyla"/>
    <x v="30"/>
    <s v="Music, Marcel A. Desautels Faculty of "/>
    <x v="0"/>
    <n v="15000"/>
    <m/>
    <n v="201590"/>
    <d v="2015-09-01T00:00:00"/>
    <d v="2017-08-31T00:00:00"/>
    <n v="30000"/>
    <s v="jensenm5@cc.umanitoba.ca "/>
  </r>
  <r>
    <n v="7759726"/>
    <s v="R"/>
    <s v="Kaja"/>
    <s v="Krishna Phani"/>
    <x v="31"/>
    <s v="Agricultural &amp; Food Sciences      "/>
    <x v="0"/>
    <n v="5000"/>
    <n v="573.62"/>
    <s v="201190"/>
    <d v="2014-09-01T00:00:00"/>
    <d v="2016-08-31T00:00:00"/>
    <n v="30000"/>
    <s v="kajakp@myumanitoba.ca"/>
  </r>
  <r>
    <n v="7711859"/>
    <s v="R"/>
    <s v="Kardashevskaya"/>
    <s v="Maria"/>
    <x v="32"/>
    <s v="Graduate Studies"/>
    <x v="1"/>
    <n v="6000"/>
    <n v="689.66"/>
    <s v="201090"/>
    <d v="2014-05-01T00:00:00"/>
    <d v="2016-08-31T00:00:00"/>
    <n v="36000"/>
    <s v="kardashm@myumanitoba.ca"/>
  </r>
  <r>
    <n v="7714854"/>
    <s v="R"/>
    <s v="Ke"/>
    <s v="Jiangnan"/>
    <x v="22"/>
    <s v="Architecture (Faculty)"/>
    <x v="0"/>
    <n v="5000"/>
    <n v="573.62"/>
    <s v="201190"/>
    <d v="2014-09-01T00:00:00"/>
    <d v="2016-08-31T00:00:00"/>
    <n v="30000"/>
    <s v="kej@myumanitoba.ca"/>
  </r>
  <r>
    <n v="7747387"/>
    <s v="R"/>
    <s v="Kimura"/>
    <s v="Kazushige"/>
    <x v="33"/>
    <s v="Graduate Studies"/>
    <x v="1"/>
    <n v="18000"/>
    <n v="688.78"/>
    <s v="201210"/>
    <d v="2014-09-01T00:00:00"/>
    <d v="2017-08-31T00:00:00"/>
    <n v="54000"/>
    <s v="kimurak@myumanitoba.ca"/>
  </r>
  <r>
    <s v="7660706"/>
    <s v="R"/>
    <s v="Klassen"/>
    <s v="Stefan"/>
    <x v="22"/>
    <s v="Architecture (Faculty)"/>
    <x v="0"/>
    <n v="15000"/>
    <m/>
    <n v="201590"/>
    <d v="2015-09-01T00:00:00"/>
    <d v="2017-08-31T00:00:00"/>
    <n v="30000"/>
    <s v="umkla369@cc.umanitoba.ca "/>
  </r>
  <r>
    <n v="7767417"/>
    <s v="R"/>
    <s v="Kondakov"/>
    <s v="Alexey"/>
    <x v="34"/>
    <s v="Arts"/>
    <x v="0"/>
    <n v="5000"/>
    <n v="573.62"/>
    <s v="201390"/>
    <d v="2014-09-01T00:00:00"/>
    <d v="2016-08-31T00:00:00"/>
    <n v="30000"/>
    <s v="kondakoa@myumanitoba.ca"/>
  </r>
  <r>
    <s v="7781635"/>
    <s v="R"/>
    <s v="Koo"/>
    <s v="Bonjin"/>
    <x v="35"/>
    <s v="Agricultural &amp; Food Sciences      "/>
    <x v="0"/>
    <n v="15000"/>
    <m/>
    <n v="201550"/>
    <d v="2015-05-01T00:00:00"/>
    <d v="2017-04-30T00:00:00"/>
    <n v="30000"/>
    <s v="koob@myumanitoba.ca"/>
  </r>
  <r>
    <s v="7684298"/>
    <s v="R"/>
    <s v="Kosmenko"/>
    <s v="Nickolas"/>
    <x v="27"/>
    <s v="Kinesiology &amp; Recreation Management "/>
    <x v="0"/>
    <n v="15000"/>
    <m/>
    <n v="201590"/>
    <d v="2015-09-01T00:00:00"/>
    <d v="2017-08-31T00:00:00"/>
    <n v="30000"/>
    <s v="umkosme2@cc.umanitoba.ca "/>
  </r>
  <r>
    <s v="7769117"/>
    <s v="R"/>
    <s v="Krepski"/>
    <s v="Heather"/>
    <x v="20"/>
    <s v="Education"/>
    <x v="0"/>
    <n v="5000"/>
    <m/>
    <n v="201490"/>
    <d v="2015-09-01T00:00:00"/>
    <d v="2016-08-31T00:00:00"/>
    <n v="30000"/>
    <s v="krepskih@cc.umanitoba.ca "/>
  </r>
  <r>
    <n v="7640265"/>
    <s v="R"/>
    <s v="Krushel"/>
    <s v="Melissa"/>
    <x v="13"/>
    <s v="Arts"/>
    <x v="0"/>
    <n v="5000"/>
    <n v="573.62"/>
    <s v="201350"/>
    <d v="2014-09-01T00:00:00"/>
    <d v="2016-08-31T00:00:00"/>
    <n v="30000"/>
    <s v="umkrushm@myumanitoba.ca"/>
  </r>
  <r>
    <n v="7651480"/>
    <s v="R"/>
    <s v="Lewicki"/>
    <s v="Brydget"/>
    <x v="24"/>
    <s v="Architecture (Faculty)"/>
    <x v="0"/>
    <n v="15000"/>
    <m/>
    <n v="201590"/>
    <d v="2015-09-01T00:00:00"/>
    <d v="2017-08-31T00:00:00"/>
    <n v="30000"/>
    <s v="umlewicb@myumanitoba.ca"/>
  </r>
  <r>
    <s v="7776831"/>
    <s v="R"/>
    <s v="MacLean"/>
    <s v="Anne"/>
    <x v="15"/>
    <s v="Clayton H. Riddell Faculty of             "/>
    <x v="0"/>
    <n v="5000"/>
    <m/>
    <n v="201490"/>
    <d v="2015-09-01T00:00:00"/>
    <d v="2016-08-31T00:00:00"/>
    <n v="15000"/>
    <s v="maclean8@myumanitoba.ca"/>
  </r>
  <r>
    <n v="7681110"/>
    <s v="R"/>
    <s v="Mante "/>
    <s v="Afua A."/>
    <x v="31"/>
    <s v="Agricultural &amp; Food Sciences      "/>
    <x v="1"/>
    <n v="18000"/>
    <n v="690.54"/>
    <s v="201310"/>
    <d v="2014-05-01T00:00:00"/>
    <d v="2017-04-30T00:00:00"/>
    <n v="54000"/>
    <s v="umampadu@myumanitoba.ca"/>
  </r>
  <r>
    <s v="7780943"/>
    <s v="R"/>
    <s v="Maswera"/>
    <s v="Tapiwa"/>
    <x v="8"/>
    <s v="Science"/>
    <x v="0"/>
    <n v="15000"/>
    <m/>
    <n v="201590"/>
    <d v="2015-09-01T00:00:00"/>
    <d v="2017-08-31T00:00:00"/>
    <n v="30000"/>
    <s v="maswerat@cc.umanitoba.ca "/>
  </r>
  <r>
    <s v="7762549"/>
    <s v="R"/>
    <s v="McDivitt"/>
    <s v="Karmen"/>
    <x v="26"/>
    <s v="Science"/>
    <x v="0"/>
    <n v="5000"/>
    <m/>
    <n v="201490"/>
    <d v="2015-09-01T00:00:00"/>
    <d v="2016-08-31T00:00:00"/>
    <n v="30000"/>
    <s v="mcdivitk@myumanitoba.ca"/>
  </r>
  <r>
    <n v="7763378"/>
    <s v="R"/>
    <s v="McKenzie"/>
    <s v="Nicholas John"/>
    <x v="32"/>
    <s v="Graduate Studies"/>
    <x v="1"/>
    <n v="18000"/>
    <n v="689"/>
    <s v="201190"/>
    <d v="2014-09-01T00:00:00"/>
    <d v="2018-08-31T00:00:00"/>
    <n v="72000"/>
    <s v="mckenz18@myumanitoba.ca"/>
  </r>
  <r>
    <s v="7708727"/>
    <s v="R"/>
    <s v="McLeod"/>
    <s v="Carly"/>
    <x v="13"/>
    <s v="Arts"/>
    <x v="0"/>
    <n v="15000"/>
    <m/>
    <n v="201590"/>
    <d v="2015-09-01T00:00:00"/>
    <d v="2017-08-31T00:00:00"/>
    <n v="30000"/>
    <s v="mcleod10@myumanitoba.ca"/>
  </r>
  <r>
    <n v="7764987"/>
    <s v="R"/>
    <s v="Menezes"/>
    <s v="Marian Borges Silva"/>
    <x v="30"/>
    <s v="Music, Marcel A. Desautels Faculty of "/>
    <x v="0"/>
    <n v="5000"/>
    <n v="573.62"/>
    <s v="201390"/>
    <d v="2014-09-01T00:00:00"/>
    <d v="2016-08-31T00:00:00"/>
    <n v="30000"/>
    <s v="menezesm@myumanitoba.ca"/>
  </r>
  <r>
    <n v="7756687"/>
    <s v="R"/>
    <s v="Mercredi"/>
    <s v="Morgan"/>
    <x v="0"/>
    <s v="Science"/>
    <x v="1"/>
    <n v="18000"/>
    <n v="688.78"/>
    <s v="201390"/>
    <d v="2014-09-01T00:00:00"/>
    <d v="2017-08-31T00:00:00"/>
    <n v="54000"/>
    <s v="mercreme@myumanitoba.ca"/>
  </r>
  <r>
    <n v="6828051"/>
    <s v="R"/>
    <s v="Michalyshyn"/>
    <s v="Chelsey"/>
    <x v="13"/>
    <s v="Arts"/>
    <x v="1"/>
    <n v="18000"/>
    <n v="688.78"/>
    <s v="201390"/>
    <d v="2014-09-01T00:00:00"/>
    <d v="2017-08-31T00:00:00"/>
    <n v="54000"/>
    <s v="ummichal@myumanitoba.ca"/>
  </r>
  <r>
    <n v="7667268"/>
    <s v="R"/>
    <s v="Mondal"/>
    <s v="Debajyoti"/>
    <x v="4"/>
    <s v="Engineering"/>
    <x v="1"/>
    <n v="2500"/>
    <n v="287.64"/>
    <n v="201290"/>
    <d v="2012-09-01T00:00:00"/>
    <d v="2016-08-31T00:00:00"/>
    <n v="30000"/>
    <s v="ummondal@myumanitoba.ca"/>
  </r>
  <r>
    <n v="7723968"/>
    <s v="R"/>
    <s v="Munira"/>
    <s v="Sirajum"/>
    <x v="36"/>
    <s v="Agricultural &amp; Food Sciences      "/>
    <x v="1"/>
    <n v="5000"/>
    <n v="287.36"/>
    <n v="201310"/>
    <d v="2013-01-01T00:00:00"/>
    <d v="2016-12-31T00:00:00"/>
    <n v="30000"/>
    <s v="muniras@myumanitoba.ca"/>
  </r>
  <r>
    <n v="7682464"/>
    <s v="R"/>
    <s v="Niu"/>
    <s v="Chen"/>
    <x v="4"/>
    <s v="Engineering"/>
    <x v="0"/>
    <n v="15000"/>
    <n v="591.19000000000005"/>
    <n v="201550"/>
    <d v="2015-05-01T00:00:00"/>
    <d v="2017-04-30T00:00:00"/>
    <n v="30000"/>
    <s v="niuc@cc.umanitoba.ca"/>
  </r>
  <r>
    <n v="7762586"/>
    <s v="R"/>
    <s v="Nosratmishekarlou"/>
    <s v="Elaheh"/>
    <x v="5"/>
    <s v="Agricultural &amp; Food Sciences      "/>
    <x v="0"/>
    <n v="15000"/>
    <m/>
    <n v="201510"/>
    <d v="2015-05-01T00:00:00"/>
    <d v="2017-04-30T00:00:00"/>
    <n v="30000"/>
    <s v="nosratme@myumanitoba.ca"/>
  </r>
  <r>
    <n v="7763195"/>
    <s v="R"/>
    <s v="Oghieakhe"/>
    <s v="Bella"/>
    <x v="32"/>
    <s v="Graduate Studies"/>
    <x v="0"/>
    <n v="10000"/>
    <n v="574.72"/>
    <n v="201510"/>
    <d v="2015-01-01T00:00:00"/>
    <d v="2016-12-31T00:00:00"/>
    <n v="30000"/>
    <s v="oghieakb@myumanitoba.ca"/>
  </r>
  <r>
    <s v="7791087"/>
    <s v="R"/>
    <s v="Oladesu"/>
    <s v="Olusola"/>
    <x v="7"/>
    <s v="Agricultural &amp; Food Sciences      "/>
    <x v="0"/>
    <n v="15000"/>
    <m/>
    <n v="201590"/>
    <d v="2015-09-01T00:00:00"/>
    <d v="2017-08-31T00:00:00"/>
    <n v="30000"/>
    <s v="oladesuo@cc.umanitoba.ca "/>
  </r>
  <r>
    <s v="7781361"/>
    <s v="R"/>
    <s v="Olatinwo"/>
    <s v="Wuraola"/>
    <x v="37"/>
    <s v="Law"/>
    <x v="0"/>
    <n v="15000"/>
    <m/>
    <n v="201590"/>
    <d v="2015-09-01T00:00:00"/>
    <d v="2017-08-31T00:00:00"/>
    <n v="30000"/>
    <s v="olatinww@cc.umanitoba.ca"/>
  </r>
  <r>
    <s v="7766924"/>
    <s v="R"/>
    <s v="Omotosho"/>
    <s v="Simbiat"/>
    <x v="8"/>
    <s v="Science"/>
    <x v="0"/>
    <n v="5000"/>
    <m/>
    <n v="201490"/>
    <d v="2015-09-01T00:00:00"/>
    <d v="2016-08-31T00:00:00"/>
    <n v="15000"/>
    <s v="adefissa@myumanitoba.ca"/>
  </r>
  <r>
    <n v="7696594"/>
    <s v="R"/>
    <s v="Ong"/>
    <s v="Li Kee"/>
    <x v="38"/>
    <s v="Business, Asper School of "/>
    <x v="0"/>
    <n v="5000"/>
    <n v="573.62"/>
    <s v="201290"/>
    <d v="2014-09-01T00:00:00"/>
    <d v="2016-08-31T00:00:00"/>
    <n v="30000"/>
    <s v="onglk@cc.umanitoba.ca"/>
  </r>
  <r>
    <n v="7783726"/>
    <s v="R"/>
    <s v="Owusu"/>
    <s v="Veronica"/>
    <x v="39"/>
    <s v="Agricultural &amp; Food Sciences      "/>
    <x v="0"/>
    <n v="15000"/>
    <m/>
    <n v="201610"/>
    <d v="2016-01-01T00:00:00"/>
    <d v="2017-12-31T00:00:00"/>
    <n v="30000"/>
    <s v="owusuva@myumanitoba.ca"/>
  </r>
  <r>
    <n v="7768763"/>
    <s v="R"/>
    <s v="Padmathilake"/>
    <s v="Kaluhannadige Rasanie"/>
    <x v="39"/>
    <s v="Agricultural &amp; Food Sciences      "/>
    <x v="1"/>
    <n v="18000"/>
    <n v="689"/>
    <s v="201490"/>
    <d v="2014-09-01T00:00:00"/>
    <d v="2018-08-31T00:00:00"/>
    <n v="72000"/>
    <s v="padmatkr@myumanitoba.ca"/>
  </r>
  <r>
    <n v="7767057"/>
    <s v="R"/>
    <s v="Panfilov"/>
    <s v="Ivan"/>
    <x v="31"/>
    <s v="Agricultural &amp; Food Sciences      "/>
    <x v="0"/>
    <n v="15000"/>
    <m/>
    <n v="201610"/>
    <d v="2016-01-01T00:00:00"/>
    <d v="2017-12-31T00:00:00"/>
    <n v="30000"/>
    <s v="panfiloi@myumanitoba.ca"/>
  </r>
  <r>
    <s v="7643954"/>
    <s v="R"/>
    <s v="Parashin"/>
    <s v="Sara"/>
    <x v="31"/>
    <s v="Agricultural &amp; Food Sciences      "/>
    <x v="0"/>
    <n v="15000"/>
    <m/>
    <n v="201590"/>
    <d v="2015-09-01T00:00:00"/>
    <d v="2017-08-31T00:00:00"/>
    <n v="30000"/>
    <s v="umparass@myumanitoba.ca"/>
  </r>
  <r>
    <s v="7764610"/>
    <s v="R"/>
    <s v="Petrus"/>
    <s v="Iana"/>
    <x v="32"/>
    <s v="Graduate Studies"/>
    <x v="0"/>
    <n v="5000"/>
    <m/>
    <n v="201490"/>
    <d v="2015-09-01T00:00:00"/>
    <d v="2016-08-31T00:00:00"/>
    <n v="15000"/>
    <s v="petrusi@myumanitoba.ca"/>
  </r>
  <r>
    <s v="7765893"/>
    <s v="R"/>
    <s v="Rahman"/>
    <s v="S.M. Hasanur"/>
    <x v="6"/>
    <s v="Engineering"/>
    <x v="0"/>
    <n v="5000"/>
    <m/>
    <n v="201490"/>
    <d v="2015-09-01T00:00:00"/>
    <d v="2016-08-31T00:00:00"/>
    <n v="15000"/>
    <s v="rahmasmh@myumanitoba.ca"/>
  </r>
  <r>
    <s v="7686442"/>
    <s v="R"/>
    <s v="Rockar"/>
    <s v="Ella"/>
    <x v="1"/>
    <s v="Arts"/>
    <x v="0"/>
    <n v="15000"/>
    <m/>
    <n v="201590"/>
    <d v="2015-09-01T00:00:00"/>
    <d v="2017-08-31T00:00:00"/>
    <n v="30000"/>
    <s v="rockare@myumanitoba.ca"/>
  </r>
  <r>
    <s v="7788989"/>
    <s v="R"/>
    <s v="Rodriguez Llorian"/>
    <s v="Elizabet"/>
    <x v="2"/>
    <s v="Arts"/>
    <x v="0"/>
    <n v="15000"/>
    <m/>
    <n v="201590"/>
    <d v="2015-09-01T00:00:00"/>
    <d v="2017-08-31T00:00:00"/>
    <n v="30000"/>
    <s v="rodrig21@cc.umanitoba.ca "/>
  </r>
  <r>
    <s v="7776835"/>
    <s v="R"/>
    <s v="Russell-Edmonds"/>
    <s v="Jessica"/>
    <x v="10"/>
    <s v="Architecture (Faculty)"/>
    <x v="0"/>
    <n v="15000"/>
    <m/>
    <n v="201590"/>
    <d v="2015-09-01T00:00:00"/>
    <d v="2017-08-31T00:00:00"/>
    <n v="30000"/>
    <s v="russel26@cc.umanitoba.ca "/>
  </r>
  <r>
    <s v="7771155"/>
    <s v="R"/>
    <s v="Ryall"/>
    <s v="Emily"/>
    <x v="15"/>
    <s v="Clayton H. Riddell Faculty of             "/>
    <x v="0"/>
    <n v="5000"/>
    <m/>
    <n v="201490"/>
    <d v="2015-09-01T00:00:00"/>
    <d v="2016-08-31T00:00:00"/>
    <n v="15000"/>
    <s v="ryalle@myumanitoba.ca"/>
  </r>
  <r>
    <n v="7753217"/>
    <s v="R"/>
    <s v="Saha"/>
    <s v="Shumit"/>
    <x v="33"/>
    <s v="Graduate Studies"/>
    <x v="0"/>
    <n v="5000"/>
    <n v="573.62"/>
    <n v="201490"/>
    <d v="2014-09-01T00:00:00"/>
    <d v="2016-08-31T00:00:00"/>
    <n v="30000"/>
    <s v="sahas34@myumanitoba.ca"/>
  </r>
  <r>
    <n v="7716307"/>
    <s v="R"/>
    <s v="Sakr"/>
    <s v="Ahmed"/>
    <x v="4"/>
    <s v="Engineering"/>
    <x v="1"/>
    <n v="6000"/>
    <n v="688.34"/>
    <n v="201290"/>
    <d v="2014-09-01T00:00:00"/>
    <d v="2016-08-31T00:00:00"/>
    <n v="36000"/>
    <s v="sakra@myumanitoba.ca"/>
  </r>
  <r>
    <s v="7787285"/>
    <s v="R"/>
    <s v="Saltarelli"/>
    <s v="Leandro"/>
    <x v="30"/>
    <s v="Music, Marcel A. Desautels Faculty of "/>
    <x v="0"/>
    <n v="15000"/>
    <m/>
    <n v="201590"/>
    <d v="2015-09-01T00:00:00"/>
    <d v="2017-08-31T00:00:00"/>
    <n v="30000"/>
    <s v="saltarel@cc.umanitoba.ca"/>
  </r>
  <r>
    <s v="7673820"/>
    <s v="R"/>
    <s v="Schellenberg"/>
    <s v="Evan"/>
    <x v="22"/>
    <s v="Architecture (Faculty)"/>
    <x v="0"/>
    <n v="5000"/>
    <m/>
    <n v="201590"/>
    <d v="2015-09-01T00:00:00"/>
    <d v="2016-08-31T00:00:00"/>
    <n v="30000"/>
    <s v="umsche45@myumanitoba.ca "/>
  </r>
  <r>
    <n v="7716837"/>
    <s v="R"/>
    <s v="Semasinghe"/>
    <s v="Lakshika Prabodini"/>
    <x v="4"/>
    <s v="Engineering"/>
    <x v="1"/>
    <n v="6000"/>
    <n v="688.34"/>
    <n v="201290"/>
    <d v="2014-09-01T00:00:00"/>
    <d v="2016-08-31T00:00:00"/>
    <n v="36000"/>
    <s v="semasilp@myumanitoba.ca"/>
  </r>
  <r>
    <n v="6031952"/>
    <s v="R"/>
    <s v="Seniuk Cicek"/>
    <s v="Jillian"/>
    <x v="31"/>
    <s v="Agricultural &amp; Food Sciences      "/>
    <x v="1"/>
    <n v="2500"/>
    <n v="172.42"/>
    <n v="201210"/>
    <d v="2012-05-01T00:00:00"/>
    <d v="2016-08-31T00:00:00"/>
    <n v="30000"/>
    <s v="umseniuk@myumanitoba.ca"/>
  </r>
  <r>
    <s v="7768243"/>
    <s v="R"/>
    <s v="Shatil"/>
    <s v="Anwar Shahadat"/>
    <x v="0"/>
    <s v="Science"/>
    <x v="0"/>
    <n v="5000"/>
    <m/>
    <n v="201490"/>
    <d v="2015-09-01T00:00:00"/>
    <d v="2016-08-31T00:00:00"/>
    <n v="15000"/>
    <s v="shatilas@myumanitoba.ca "/>
  </r>
  <r>
    <s v="7674635"/>
    <s v="R"/>
    <s v="Shaw"/>
    <s v="David"/>
    <x v="18"/>
    <s v="Arts"/>
    <x v="0"/>
    <n v="15000"/>
    <m/>
    <n v="201590"/>
    <d v="2015-09-01T00:00:00"/>
    <d v="2017-08-31T00:00:00"/>
    <n v="30000"/>
    <s v="umshaw5@cc.umanitoba.ca"/>
  </r>
  <r>
    <s v="6800236"/>
    <s v="R"/>
    <s v="Shears"/>
    <s v="Victoria"/>
    <x v="21"/>
    <s v="Social Work (Faculty)"/>
    <x v="0"/>
    <n v="5000"/>
    <m/>
    <n v="201490"/>
    <d v="2015-09-01T00:00:00"/>
    <d v="2016-08-31T00:00:00"/>
    <n v="15000"/>
    <s v="umshears@cc.umanitoba.ca "/>
  </r>
  <r>
    <s v="7688942"/>
    <s v="R"/>
    <s v="Shumski"/>
    <s v="Curtis"/>
    <x v="4"/>
    <s v="Engineering"/>
    <x v="0"/>
    <n v="15000"/>
    <m/>
    <n v="201590"/>
    <d v="2015-09-01T00:00:00"/>
    <d v="2017-08-31T00:00:00"/>
    <n v="30000"/>
    <s v="shumskic@myumanitoba.ca"/>
  </r>
  <r>
    <n v="7697841"/>
    <s v="R"/>
    <s v="Siddique"/>
    <s v="Uzma"/>
    <x v="4"/>
    <s v="Engineering"/>
    <x v="1"/>
    <n v="2500"/>
    <n v="287.64"/>
    <n v="201290"/>
    <d v="2012-09-01T00:00:00"/>
    <d v="2016-08-31T00:00:00"/>
    <n v="30000"/>
    <s v="siddiquu@myumanitoba.ca"/>
  </r>
  <r>
    <n v="7766617"/>
    <s v="R"/>
    <s v="Siddiqui"/>
    <s v="Sana"/>
    <x v="4"/>
    <s v="Engineering"/>
    <x v="0"/>
    <n v="10000"/>
    <n v="574.72"/>
    <n v="201510"/>
    <d v="2015-01-01T00:00:00"/>
    <d v="2016-12-31T00:00:00"/>
    <n v="30000"/>
    <s v="siddiqu5@myumanitoba.ca"/>
  </r>
  <r>
    <s v="7637692"/>
    <s v="R"/>
    <s v="Sieradzki"/>
    <s v="Britt"/>
    <x v="40"/>
    <s v="Medicine, College of"/>
    <x v="0"/>
    <n v="5000"/>
    <m/>
    <n v="201490"/>
    <d v="2015-09-01T00:00:00"/>
    <d v="2016-08-31T00:00:00"/>
    <n v="15000"/>
    <s v="umsierab@myumanitoba.ca "/>
  </r>
  <r>
    <s v="7790063"/>
    <s v="R"/>
    <s v="Smith"/>
    <s v="Conor"/>
    <x v="10"/>
    <s v="Architecture (Faculty)"/>
    <x v="0"/>
    <n v="15000"/>
    <m/>
    <n v="201590"/>
    <d v="2015-09-01T00:00:00"/>
    <d v="2017-08-31T00:00:00"/>
    <n v="30000"/>
    <s v="smithc29@myumanitoba.ca "/>
  </r>
  <r>
    <n v="7706272"/>
    <s v="R"/>
    <s v="Tabatabaei"/>
    <s v="Dina"/>
    <x v="13"/>
    <s v="Arts"/>
    <x v="0"/>
    <n v="5000"/>
    <n v="573.62"/>
    <n v="201490"/>
    <d v="2014-09-01T00:00:00"/>
    <d v="2016-08-31T00:00:00"/>
    <n v="30000"/>
    <s v="tabatabd@myumanitoba.ca"/>
  </r>
  <r>
    <n v="7764312"/>
    <s v="R"/>
    <s v="Talukder"/>
    <s v="Rubel Chandra"/>
    <x v="4"/>
    <s v="Engineering"/>
    <x v="0"/>
    <n v="5000"/>
    <n v="573.62"/>
    <n v="201490"/>
    <d v="2014-09-01T00:00:00"/>
    <d v="2016-08-31T00:00:00"/>
    <n v="30000"/>
    <s v="talukdrc@myumanitoba.ca"/>
  </r>
  <r>
    <s v="6826971"/>
    <s v="R"/>
    <s v="Suarez-Amaya"/>
    <s v="Sasha"/>
    <x v="24"/>
    <s v="Architecture (Faculty)"/>
    <x v="0"/>
    <n v="15000"/>
    <m/>
    <n v="201590"/>
    <d v="2015-09-01T00:00:00"/>
    <d v="2017-08-31T00:00:00"/>
    <n v="30000"/>
    <s v="suareza3@myumanitoba.ca"/>
  </r>
  <r>
    <s v="7688656"/>
    <s v="R"/>
    <s v="Thomson"/>
    <s v="Erika"/>
    <x v="34"/>
    <s v="Arts"/>
    <x v="0"/>
    <n v="15000"/>
    <m/>
    <n v="201590"/>
    <d v="2015-09-01T00:00:00"/>
    <d v="2017-08-31T00:00:00"/>
    <n v="30000"/>
    <s v="thomso11@myumanitoba.ca"/>
  </r>
  <r>
    <s v="7635827"/>
    <s v="R"/>
    <s v="Turenne"/>
    <s v="Daniel"/>
    <x v="38"/>
    <s v="Business, Asper School of "/>
    <x v="0"/>
    <n v="15000"/>
    <m/>
    <n v="201590"/>
    <d v="2015-09-01T00:00:00"/>
    <d v="2017-08-31T00:00:00"/>
    <n v="30000"/>
    <s v="umturenn@cc.umanitoba.ca"/>
  </r>
  <r>
    <n v="7764998"/>
    <s v="R"/>
    <s v="Unrau"/>
    <s v="Melanie"/>
    <x v="18"/>
    <s v="Arts"/>
    <x v="1"/>
    <n v="18000"/>
    <m/>
    <n v="201450"/>
    <d v="2014-05-01T00:00:00"/>
    <d v="2018-04-30T00:00:00"/>
    <n v="72000"/>
    <s v="umraum3@myumanitoba.ca"/>
  </r>
  <r>
    <s v="7640010"/>
    <s v="R"/>
    <s v="Upadhyaya"/>
    <s v="Ranju"/>
    <x v="1"/>
    <s v="Arts"/>
    <x v="0"/>
    <n v="15000"/>
    <m/>
    <n v="201590"/>
    <d v="2015-09-01T00:00:00"/>
    <d v="2017-08-31T00:00:00"/>
    <n v="30000"/>
    <s v="umupadh2@myumanitoba.ca"/>
  </r>
  <r>
    <n v="7752643"/>
    <s v="R"/>
    <s v="Usoltseva"/>
    <s v="Olena"/>
    <x v="8"/>
    <s v="Science"/>
    <x v="1"/>
    <n v="18000"/>
    <n v="688.78"/>
    <n v="201410"/>
    <d v="2014-09-01T00:00:00"/>
    <d v="2017-08-31T00:00:00"/>
    <n v="54000"/>
    <s v="usoltseo@myumanitoba.ca"/>
  </r>
  <r>
    <n v="7673345"/>
    <s v="R"/>
    <s v="van Reenen"/>
    <s v="Melanie"/>
    <x v="11"/>
    <s v="Rehabilitation Sciences, College of "/>
    <x v="0"/>
    <n v="5000"/>
    <n v="573.62"/>
    <n v="201490"/>
    <d v="2014-09-01T00:00:00"/>
    <d v="2016-08-31T00:00:00"/>
    <n v="30000"/>
    <s v="umvanree@myumanitoba.ca"/>
  </r>
  <r>
    <n v="6840313"/>
    <s v="R"/>
    <s v="Verwey"/>
    <s v="Cameron"/>
    <x v="3"/>
    <s v="Engineering"/>
    <x v="0"/>
    <n v="15000"/>
    <m/>
    <n v="201510"/>
    <d v="2015-05-01T00:00:00"/>
    <d v="2017-04-30T00:00:00"/>
    <n v="30000"/>
    <s v="umverwec@cc.umanitoba.ca"/>
  </r>
  <r>
    <s v="7789121"/>
    <s v="R"/>
    <s v="Walia"/>
    <s v="Rajdeep Singh"/>
    <x v="38"/>
    <s v="Business, Asper School of "/>
    <x v="0"/>
    <n v="15000"/>
    <m/>
    <n v="201590"/>
    <d v="2015-09-01T00:00:00"/>
    <d v="2017-08-31T00:00:00"/>
    <n v="30000"/>
    <s v="waliar@cc.umanitoba.ca"/>
  </r>
  <r>
    <s v="7692691"/>
    <s v="R"/>
    <s v="Wall"/>
    <s v="Erns"/>
    <x v="41"/>
    <s v="Architecture (Faculty)"/>
    <x v="0"/>
    <n v="15000"/>
    <m/>
    <n v="201590"/>
    <d v="2015-09-01T00:00:00"/>
    <d v="2017-08-31T00:00:00"/>
    <n v="30000"/>
    <s v="walle@cc.umanitoba.ca"/>
  </r>
  <r>
    <n v="7765447"/>
    <s v="R"/>
    <s v="Younas"/>
    <s v="Sohail"/>
    <x v="33"/>
    <s v="Graduate Studies"/>
    <x v="0"/>
    <n v="5000"/>
    <n v="573.62"/>
    <n v="201490"/>
    <d v="2014-09-01T00:00:00"/>
    <d v="2016-08-31T00:00:00"/>
    <n v="30000"/>
    <s v="younass@myumanitoba.ca"/>
  </r>
  <r>
    <s v="7641646"/>
    <s v="R"/>
    <s v="Yurkowski"/>
    <s v="Steven"/>
    <x v="1"/>
    <s v="Arts"/>
    <x v="0"/>
    <n v="15000"/>
    <m/>
    <n v="201590"/>
    <d v="2015-09-01T00:00:00"/>
    <d v="2017-08-31T00:00:00"/>
    <n v="30000"/>
    <s v="UMYURKOW@MYUMANITOBA.CA"/>
  </r>
  <r>
    <n v="7783695"/>
    <s v="R"/>
    <s v="Zhanda"/>
    <s v="Justice"/>
    <x v="36"/>
    <s v="Agricultural &amp; Food Sciences      "/>
    <x v="0"/>
    <n v="15000"/>
    <m/>
    <n v="201550"/>
    <d v="2015-05-01T00:00:00"/>
    <d v="2017-04-30T00:00:00"/>
    <n v="30000"/>
    <s v="Justice.Zhanda@umanitoba.ca"/>
  </r>
  <r>
    <n v="7765805"/>
    <s v="R"/>
    <s v="Zhang"/>
    <s v="Ying"/>
    <x v="38"/>
    <s v="Business, Asper School of "/>
    <x v="0"/>
    <n v="5000"/>
    <n v="573.62"/>
    <n v="201490"/>
    <d v="2014-09-01T00:00:00"/>
    <d v="2016-08-31T00:00:00"/>
    <n v="28000"/>
    <s v="zhangy40@myumanitoba.ca"/>
  </r>
  <r>
    <n v="6847610"/>
    <s v="R"/>
    <s v="Zhang"/>
    <s v="Yu"/>
    <x v="25"/>
    <s v="Science"/>
    <x v="1"/>
    <n v="12000"/>
    <n v="286.89999999999998"/>
    <n v="201310"/>
    <d v="2014-09-01T00:00:00"/>
    <d v="2016-12-31T00:00:00"/>
    <n v="17500"/>
    <s v="umzha345@myumanitoba.ca"/>
  </r>
  <r>
    <s v="7700294"/>
    <s v="R"/>
    <s v="Ziolkowski"/>
    <s v="Kyle"/>
    <x v="12"/>
    <s v="Clayton H. Riddell Faculty of             "/>
    <x v="0"/>
    <n v="15000"/>
    <m/>
    <n v="201550"/>
    <d v="2015-09-01T00:00:00"/>
    <d v="2017-08-31T00:00:00"/>
    <n v="30000"/>
    <s v="ziolkowk@cc.umanitoba.c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8575">
  <r>
    <n v="6798147"/>
    <s v="RM"/>
    <s v="Acosta"/>
    <s v="Crystal"/>
    <x v="0"/>
    <s v="Pharmacy, College of"/>
    <x v="0"/>
    <m/>
    <n v="347.04"/>
    <m/>
    <d v="2014-09-01T00:00:00"/>
    <d v="2018-08-31T00:00:00"/>
    <n v="36000"/>
    <m/>
    <m/>
  </r>
  <r>
    <n v="7683000"/>
    <s v="R"/>
    <s v="Adekoya"/>
    <s v="Adebusola"/>
    <x v="1"/>
    <s v="Nursing, College of"/>
    <x v="1"/>
    <n v="4666.67"/>
    <n v="535.38"/>
    <n v="201490"/>
    <d v="2014-09-01T00:00:00"/>
    <d v="2016-08-31T00:00:00"/>
    <n v="28000"/>
    <s v="umadekoa@myumanitoba.ca"/>
    <m/>
  </r>
  <r>
    <n v="7749268"/>
    <s v="R"/>
    <s v="Afshar Delkhah"/>
    <s v="Samaneh"/>
    <x v="2"/>
    <s v="Engineering"/>
    <x v="2"/>
    <n v="18000"/>
    <n v="690.98"/>
    <n v="201390"/>
    <d v="2015-05-01T00:00:00"/>
    <d v="2017-04-30T00:00:00"/>
    <n v="36000"/>
    <s v="afshards@myumanitoba.ca "/>
    <m/>
  </r>
  <r>
    <m/>
    <s v="R"/>
    <s v="Agbor"/>
    <s v="Valery"/>
    <x v="0"/>
    <s v="Pharmacy, College of"/>
    <x v="0"/>
    <m/>
    <n v="727.98"/>
    <m/>
    <m/>
    <m/>
    <m/>
    <m/>
    <m/>
  </r>
  <r>
    <n v="7763565"/>
    <s v="R"/>
    <s v="Ahmed"/>
    <s v="Jaseer"/>
    <x v="3"/>
    <s v="Science"/>
    <x v="2"/>
    <n v="18000"/>
    <n v="689"/>
    <n v="201490"/>
    <d v="2014-09-01T00:00:00"/>
    <d v="2018-08-31T00:00:00"/>
    <n v="72000"/>
    <s v="ahmedj@myumanitoba.ca"/>
    <s v=" "/>
  </r>
  <r>
    <s v="7662132"/>
    <s v="R"/>
    <s v="Akoh"/>
    <s v="Ben"/>
    <x v="4"/>
    <s v="Education Faculty"/>
    <x v="2"/>
    <n v="6000"/>
    <n v="687.04"/>
    <n v="201290"/>
    <d v="2015-09-01T00:00:00"/>
    <d v="2016-08-31T00:00:00"/>
    <n v="18000"/>
    <s v="umakoh@myumanitoba.ca "/>
    <s v="DONE"/>
  </r>
  <r>
    <s v="7791176"/>
    <s v="R"/>
    <s v="Jordaan"/>
    <s v="Jacqueline"/>
    <x v="5"/>
    <s v="Arts"/>
    <x v="2"/>
    <n v="18000"/>
    <n v="689.66"/>
    <n v="201590"/>
    <d v="2015-09-01T00:00:00"/>
    <d v="2019-08-31T00:00:00"/>
    <n v="72000"/>
    <s v="jordaanj@cc.umanitoba.ca "/>
    <s v="DONE"/>
  </r>
  <r>
    <n v="7761121"/>
    <s v="R"/>
    <s v="Aleyasin"/>
    <s v="Seyed Sobhan"/>
    <x v="6"/>
    <s v="Engineering"/>
    <x v="2"/>
    <n v="18000"/>
    <n v="690.54"/>
    <n v="201450"/>
    <d v="2015-05-01T00:00:00"/>
    <d v="2018-04-30T00:00:00"/>
    <n v="54000"/>
    <s v="aleyasss@myumanitoba.ca"/>
    <m/>
  </r>
  <r>
    <n v="7716544"/>
    <s v="RM"/>
    <s v="Alizadeh"/>
    <s v="Arsalan"/>
    <x v="7"/>
    <s v="Medicine, College of"/>
    <x v="0"/>
    <m/>
    <n v="346.38"/>
    <m/>
    <d v="2015-09-01T00:00:00"/>
    <d v="2016-08-31T00:00:00"/>
    <n v="18000"/>
    <m/>
    <m/>
  </r>
  <r>
    <n v="7689233"/>
    <s v="R"/>
    <s v="Landry"/>
    <s v="David"/>
    <x v="5"/>
    <s v="Arts"/>
    <x v="2"/>
    <n v="18000"/>
    <n v="688.88"/>
    <n v="201390"/>
    <d v="2013-09-01T00:00:00"/>
    <d v="2017-08-31T00:00:00"/>
    <n v="64000"/>
    <s v="landryd3@myumanitoba.ca"/>
    <m/>
  </r>
  <r>
    <n v="7716305"/>
    <s v="R"/>
    <s v="Alphonse"/>
    <s v="Peter"/>
    <x v="8"/>
    <s v="Agricultural &amp; Food Sciences      "/>
    <x v="2"/>
    <n v="12000"/>
    <n v="287.36"/>
    <n v="201310"/>
    <d v="2013-01-01T00:00:00"/>
    <d v="2016-12-31T00:00:00"/>
    <n v="69333.33"/>
    <s v="sujithap@myumanitoba.ca"/>
    <m/>
  </r>
  <r>
    <n v="7737047"/>
    <s v="R"/>
    <s v="Andalib"/>
    <s v="Taraneh"/>
    <x v="3"/>
    <s v="Science"/>
    <x v="2"/>
    <n v="18000"/>
    <n v="688.78"/>
    <n v="201390"/>
    <d v="2014-09-01T00:00:00"/>
    <d v="2017-08-31T00:00:00"/>
    <n v="54000"/>
    <s v="andalibt@myumanitoba.ca"/>
    <s v="DUFF ROBLIN"/>
  </r>
  <r>
    <s v="7714865"/>
    <s v="R"/>
    <s v="Assuah"/>
    <s v="Anderson"/>
    <x v="9"/>
    <s v="Clayton H. Riddell Faculty of             "/>
    <x v="2"/>
    <n v="18000"/>
    <n v="689.66"/>
    <n v="201590"/>
    <d v="2015-09-01T00:00:00"/>
    <d v="2019-08-31T00:00:00"/>
    <n v="72000"/>
    <s v="assuaha@myumanitoba.ca"/>
    <s v="DONE"/>
  </r>
  <r>
    <n v="5617544"/>
    <s v="RM"/>
    <s v="Attawar"/>
    <s v="Dhiwya"/>
    <x v="10"/>
    <s v="Medicine, College of"/>
    <x v="0"/>
    <m/>
    <n v="347.04"/>
    <m/>
    <d v="2015-09-01T00:00:00"/>
    <d v="2017-08-31T00:00:00"/>
    <n v="18150"/>
    <m/>
    <m/>
  </r>
  <r>
    <n v="7736153"/>
    <s v="R"/>
    <s v="Azad"/>
    <s v="Elnaz"/>
    <x v="11"/>
    <s v="Agricultural &amp; Food Sciences      "/>
    <x v="2"/>
    <n v="18000"/>
    <n v="690.98"/>
    <n v="201350"/>
    <d v="2015-05-01T00:00:00"/>
    <d v="2017-04-30T00:00:00"/>
    <n v="36000"/>
    <s v="azade@myumanitoba.ca"/>
    <m/>
  </r>
  <r>
    <n v="7736544"/>
    <s v="R"/>
    <s v="Bahari"/>
    <s v="Ako"/>
    <x v="6"/>
    <s v="Engineering"/>
    <x v="2"/>
    <n v="18000"/>
    <n v="690.54"/>
    <n v="201410"/>
    <d v="2015-05-01T00:00:00"/>
    <d v="2018-04-30T00:00:00"/>
    <n v="54000"/>
    <s v="baharia@myumanitoba.ca"/>
    <m/>
  </r>
  <r>
    <s v="7765818"/>
    <s v="R"/>
    <s v="Bahoo Torudi"/>
    <s v="Yeganeh"/>
    <x v="12"/>
    <s v="Science"/>
    <x v="2"/>
    <n v="18000"/>
    <n v="688.78"/>
    <n v="201490"/>
    <d v="2015-09-01T00:00:00"/>
    <d v="2018-08-31T00:00:00"/>
    <n v="54000"/>
    <s v="bahoo@cs.umanitoba.ca"/>
    <s v="DONE"/>
  </r>
  <r>
    <n v="7759851"/>
    <s v="R"/>
    <s v="Bansah"/>
    <s v="Samuel"/>
    <x v="13"/>
    <s v="Clayton H. Riddell Faculty of             "/>
    <x v="2"/>
    <n v="18000"/>
    <n v="690.54"/>
    <s v="201410"/>
    <d v="2014-05-01T00:00:00"/>
    <d v="2017-04-30T00:00:00"/>
    <n v="54000"/>
    <s v="bansahs@myumanitoba.ca"/>
    <m/>
  </r>
  <r>
    <n v="7704630"/>
    <s v="R"/>
    <s v="Bayat "/>
    <s v="Nozhan"/>
    <x v="2"/>
    <s v="Engineering"/>
    <x v="2"/>
    <n v="18000"/>
    <n v="690.54"/>
    <n v="201490"/>
    <d v="2015-05-01T00:00:00"/>
    <d v="2018-04-30T00:00:00"/>
    <n v="54000"/>
    <s v="bayatn@myumanitoba.ca"/>
    <m/>
  </r>
  <r>
    <n v="6771285"/>
    <s v="R"/>
    <s v="Beange"/>
    <s v="Jaya"/>
    <x v="14"/>
    <s v="Architecture (Faculty)"/>
    <x v="1"/>
    <n v="4666.67"/>
    <n v="535.38"/>
    <n v="201490"/>
    <d v="2014-09-01T00:00:00"/>
    <d v="2016-08-31T00:00:00"/>
    <n v="28000"/>
    <s v="beangejc@cc.umanitoba.ca"/>
    <m/>
  </r>
  <r>
    <n v="7709072"/>
    <s v="R"/>
    <s v="Bergen"/>
    <s v="Robert"/>
    <x v="3"/>
    <s v="Science"/>
    <x v="2"/>
    <n v="18000"/>
    <n v="690.54"/>
    <n v="201510"/>
    <d v="2015-05-01T00:00:00"/>
    <d v="2018-04-30T00:00:00"/>
    <n v="54000"/>
    <s v="bergenr5@myumanitoba.ca"/>
    <m/>
  </r>
  <r>
    <n v="6852061"/>
    <s v="RM"/>
    <s v="Birse"/>
    <s v="Kensie"/>
    <x v="15"/>
    <s v="Medicine, College of"/>
    <x v="0"/>
    <m/>
    <n v="341.32"/>
    <m/>
    <d v="2014-09-01T00:00:00"/>
    <d v="2016-08-31T00:00:00"/>
    <n v="17850"/>
    <m/>
    <m/>
  </r>
  <r>
    <n v="7713867"/>
    <s v="R"/>
    <s v="Bitzker"/>
    <s v="Katharina"/>
    <x v="16"/>
    <s v="Graduate Studies"/>
    <x v="2"/>
    <n v="6000"/>
    <n v="688.54"/>
    <n v="201290"/>
    <d v="2012-09-01T00:00:00"/>
    <d v="2016-08-31T00:00:00"/>
    <n v="68666.679999999993"/>
    <s v="bitzkerk@myumanitoba.ca"/>
    <m/>
  </r>
  <r>
    <n v="7751011"/>
    <s v="R"/>
    <s v="Boone"/>
    <s v="Wieter"/>
    <x v="17"/>
    <s v="Clayton H. Riddell Faculty of             "/>
    <x v="2"/>
    <n v="18000"/>
    <n v="690.54"/>
    <n v="201390"/>
    <d v="2014-05-01T00:00:00"/>
    <d v="2017-04-30T00:00:00"/>
    <n v="54000"/>
    <s v="boonewww@myumanitoba.ca"/>
    <m/>
  </r>
  <r>
    <s v="7740084"/>
    <s v="R"/>
    <s v="Borges e Jesus Chieregati"/>
    <s v="Barbara"/>
    <x v="4"/>
    <s v="Education Faculty"/>
    <x v="2"/>
    <n v="18000"/>
    <n v="690.54"/>
    <n v="201390"/>
    <d v="2015-09-01T00:00:00"/>
    <d v="2017-08-31T00:00:00"/>
    <n v="36000"/>
    <s v="borgeseb@myumanitoba.ca"/>
    <s v="DONE"/>
  </r>
  <r>
    <n v="7614214"/>
    <s v="R"/>
    <s v="Braun-Janzen"/>
    <s v="Erin"/>
    <x v="18"/>
    <s v="Arts"/>
    <x v="1"/>
    <n v="4666.67"/>
    <n v="535.38"/>
    <n v="201490"/>
    <d v="2014-09-01T00:00:00"/>
    <d v="2016-08-31T00:00:00"/>
    <n v="28000"/>
    <s v="Erin.Braun-Janzen@umanitoba.ca"/>
    <s v="DUFF ROBLIN"/>
  </r>
  <r>
    <n v="7756693"/>
    <s v="R"/>
    <s v="Breen"/>
    <s v="Jane"/>
    <x v="19"/>
    <s v="Science"/>
    <x v="2"/>
    <n v="18000"/>
    <n v="690.54"/>
    <n v="201410"/>
    <d v="2014-05-01T00:00:00"/>
    <d v="2017-04-30T00:00:00"/>
    <n v="54000"/>
    <s v="breenj3@myumanitoba.ca"/>
    <m/>
  </r>
  <r>
    <n v="7740009"/>
    <s v="R"/>
    <s v="Broumand"/>
    <s v="Mohsen"/>
    <x v="6"/>
    <s v="Engineering"/>
    <x v="2"/>
    <n v="18000"/>
    <n v="690.54"/>
    <n v="201410"/>
    <d v="2015-05-01T00:00:00"/>
    <d v="2018-04-30T00:00:00"/>
    <n v="54000"/>
    <s v="broumanm@myumanitoba.ca"/>
    <m/>
  </r>
  <r>
    <n v="6722205"/>
    <s v="R"/>
    <s v="Brown"/>
    <s v="Alistair"/>
    <x v="20"/>
    <s v="Science"/>
    <x v="2"/>
    <n v="18000"/>
    <n v="689.66"/>
    <n v="201390"/>
    <d v="2015-01-01T00:00:00"/>
    <d v="2017-08-31T00:00:00"/>
    <n v="48000"/>
    <s v="browna13@myumanitoba.ca"/>
    <m/>
  </r>
  <r>
    <n v="7671598"/>
    <s v="RM"/>
    <s v="Burg  "/>
    <s v="Maxwell"/>
    <x v="21"/>
    <s v="Medicine, College of"/>
    <x v="0"/>
    <m/>
    <n v="534.36"/>
    <m/>
    <d v="2015-09-01T00:00:00"/>
    <d v="2016-08-31T00:00:00"/>
    <n v="14000"/>
    <m/>
    <m/>
  </r>
  <r>
    <s v="6812001"/>
    <s v="R"/>
    <s v="Calic"/>
    <s v="Divna"/>
    <x v="0"/>
    <s v="Pharmacy, College of"/>
    <x v="2"/>
    <n v="18000"/>
    <n v="689.66"/>
    <n v="201410"/>
    <d v="2015-09-01T00:00:00"/>
    <d v="2019-08-31T00:00:00"/>
    <n v="72000"/>
    <s v="umcalic@cc.umanitoba.ca"/>
    <s v="no paper copy"/>
  </r>
  <r>
    <n v="6839963"/>
    <s v="RM"/>
    <s v="Caligiuri"/>
    <s v="Stephanie"/>
    <x v="22"/>
    <s v="Medicine, College of"/>
    <x v="0"/>
    <m/>
    <n v="346.38"/>
    <m/>
    <d v="2015-09-01T00:00:00"/>
    <d v="2016-08-31T00:00:00"/>
    <n v="9075"/>
    <m/>
    <m/>
  </r>
  <r>
    <n v="7735262"/>
    <s v="R"/>
    <s v="Cameranesi"/>
    <s v="Margherita"/>
    <x v="23"/>
    <s v="Graduate Studies"/>
    <x v="2"/>
    <n v="18000"/>
    <n v="689"/>
    <n v="201490"/>
    <d v="2014-09-01T00:00:00"/>
    <d v="2018-08-31T00:00:00"/>
    <n v="72000"/>
    <s v="cameranm@cc.umanitoba.ca"/>
    <m/>
  </r>
  <r>
    <s v="7766788"/>
    <s v="R"/>
    <s v="Nagengast-Stevens"/>
    <s v="Elizabeth"/>
    <x v="5"/>
    <s v="Arts"/>
    <x v="2"/>
    <n v="18000"/>
    <n v="688.78"/>
    <n v="201490"/>
    <d v="2015-09-01T00:00:00"/>
    <d v="2018-08-31T00:00:00"/>
    <n v="54000"/>
    <s v="nagengae@myumanitoba.ca"/>
    <s v="no file found"/>
  </r>
  <r>
    <n v="7756688"/>
    <s v="R"/>
    <s v="Nikolaeva"/>
    <s v="Sardana"/>
    <x v="5"/>
    <s v="Arts"/>
    <x v="2"/>
    <n v="18000"/>
    <n v="689"/>
    <n v="201490"/>
    <d v="2014-09-01T00:00:00"/>
    <d v="2018-08-31T00:00:00"/>
    <n v="72000"/>
    <s v="nikolaes@myumanitoba.ca"/>
    <m/>
  </r>
  <r>
    <s v="7691715"/>
    <s v="R"/>
    <s v="Palsson"/>
    <s v="Solmunder Karl"/>
    <x v="5"/>
    <s v="Arts"/>
    <x v="2"/>
    <n v="18000"/>
    <n v="688.34"/>
    <n v="201490"/>
    <d v="2015-09-01T00:00:00"/>
    <d v="2017-08-31T00:00:00"/>
    <n v="36000"/>
    <s v="palssons@cc.umanitoba.ca "/>
    <s v="DONE"/>
  </r>
  <r>
    <s v="6604658"/>
    <s v="R"/>
    <s v="Chan"/>
    <s v="Walter Wai Tak"/>
    <x v="24"/>
    <s v="Social Work (Faculty)"/>
    <x v="2"/>
    <n v="18000"/>
    <n v="689.66"/>
    <n v="201390"/>
    <d v="2015-09-01T00:00:00"/>
    <d v="2017-08-31T00:00:00"/>
    <n v="36000"/>
    <s v="umchanww@myumanitoba.ca"/>
    <s v="DONE"/>
  </r>
  <r>
    <n v="7760557"/>
    <s v="R"/>
    <s v="Chandran"/>
    <s v="Deepa"/>
    <x v="25"/>
    <s v="Architecture (Faculty)"/>
    <x v="1"/>
    <n v="4666.67"/>
    <n v="535.38"/>
    <n v="201490"/>
    <d v="2014-09-01T00:00:00"/>
    <d v="2016-08-31T00:00:00"/>
    <n v="28000"/>
    <s v="chandrad@myumanitoba.ca"/>
    <m/>
  </r>
  <r>
    <n v="7763002"/>
    <s v="R"/>
    <s v="Chen"/>
    <s v="Qiuyu"/>
    <x v="26"/>
    <s v="Business, Asper School of "/>
    <x v="1"/>
    <n v="4666.67"/>
    <n v="535.38"/>
    <n v="201490"/>
    <d v="2014-09-01T00:00:00"/>
    <d v="2016-08-31T00:00:00"/>
    <n v="28000"/>
    <s v="chenq34@myumanitoba.ca"/>
    <m/>
  </r>
  <r>
    <n v="7730206"/>
    <s v="R"/>
    <s v="Cherniaev"/>
    <s v="Aleksandr"/>
    <x v="6"/>
    <s v="Engineering"/>
    <x v="2"/>
    <n v="12000"/>
    <n v="688.68"/>
    <n v="201310"/>
    <d v="2013-05-01T00:00:00"/>
    <d v="2016-12-31T00:00:00"/>
    <n v="63333.63"/>
    <s v="chernia5@myumanitoba.ca"/>
    <m/>
  </r>
  <r>
    <n v="7690568"/>
    <s v="RM"/>
    <s v="Chevrier"/>
    <s v="Claudyne"/>
    <x v="10"/>
    <s v="Medicine, College of"/>
    <x v="0"/>
    <m/>
    <n v="346.38"/>
    <m/>
    <d v="2015-09-01T00:00:00"/>
    <d v="2016-08-31T00:00:00"/>
    <n v="9075"/>
    <m/>
    <m/>
  </r>
  <r>
    <n v="7761837"/>
    <s v="R"/>
    <s v="Parker"/>
    <s v="Kaela"/>
    <x v="5"/>
    <s v="Arts"/>
    <x v="2"/>
    <n v="18000"/>
    <n v="690.54"/>
    <n v="201490"/>
    <d v="2015-05-01T00:00:00"/>
    <d v="2018-04-30T00:00:00"/>
    <n v="54000"/>
    <s v="parkerk7@myumanitoba.ca"/>
    <m/>
  </r>
  <r>
    <s v="7616854"/>
    <s v="R"/>
    <s v="Clark"/>
    <s v="Jaime"/>
    <x v="8"/>
    <s v="Agricultural &amp; Food Sciences      "/>
    <x v="2"/>
    <n v="6000"/>
    <n v="687.04"/>
    <n v="201290"/>
    <d v="2015-09-01T00:00:00"/>
    <d v="2016-08-31T00:00:00"/>
    <n v="18000"/>
    <s v="umclar24@cc.umanitoba.ca "/>
    <s v="DONE"/>
  </r>
  <r>
    <s v="7774762"/>
    <s v="R"/>
    <s v="Colwell"/>
    <s v="Megan"/>
    <x v="27"/>
    <s v="Agricultural &amp; Food Sciences      "/>
    <x v="2"/>
    <n v="18000"/>
    <n v="690.54"/>
    <n v="201450"/>
    <d v="2015-05-01T00:00:00"/>
    <d v="2018-04-30T00:00:00"/>
    <n v="54000"/>
    <s v="colwellm@myumanitoba.ca"/>
    <m/>
  </r>
  <r>
    <n v="7754044"/>
    <s v="R"/>
    <s v="Ross"/>
    <s v="Jon"/>
    <x v="5"/>
    <s v="Arts"/>
    <x v="2"/>
    <n v="18000"/>
    <n v="688.78"/>
    <n v="201390"/>
    <d v="2014-09-01T00:00:00"/>
    <d v="2017-08-31T00:00:00"/>
    <n v="54000"/>
    <s v="rossj313@myumanitoba.ca"/>
    <m/>
  </r>
  <r>
    <n v="7615482"/>
    <s v="R"/>
    <s v="Cuthbert"/>
    <s v="Eric"/>
    <x v="20"/>
    <s v="Science"/>
    <x v="2"/>
    <n v="18000"/>
    <n v="688.78"/>
    <n v="201390"/>
    <d v="2014-09-01T00:00:00"/>
    <d v="2017-08-31T00:00:00"/>
    <n v="54000"/>
    <s v="umcuthb4@myumanitoba.ca"/>
    <m/>
  </r>
  <r>
    <n v="7777002"/>
    <s v="R"/>
    <s v="Daneshvar"/>
    <s v="Nasibeh"/>
    <x v="28"/>
    <s v="Science"/>
    <x v="2"/>
    <n v="18000"/>
    <n v="690.32"/>
    <n v="201510"/>
    <d v="2015-05-01T00:00:00"/>
    <d v="2019-04-30T00:00:00"/>
    <n v="72000"/>
    <s v="daneshvn@myumanitoba.ca"/>
    <m/>
  </r>
  <r>
    <n v="7717525"/>
    <s v="R"/>
    <s v="De Guzman"/>
    <s v="Earl"/>
    <x v="29"/>
    <s v="Engineering"/>
    <x v="2"/>
    <n v="18000"/>
    <n v="690.32"/>
    <n v="201550"/>
    <d v="2015-05-01T00:00:00"/>
    <d v="2019-04-30T00:00:00"/>
    <n v="72000"/>
    <s v="deguzmem@myumanitoba.ca"/>
    <m/>
  </r>
  <r>
    <s v="7762096"/>
    <s v="R"/>
    <s v="De Silva"/>
    <s v="Pawuththuwadura Malaka"/>
    <x v="30"/>
    <s v="Science"/>
    <x v="2"/>
    <n v="18000"/>
    <n v="690.66"/>
    <n v="201450"/>
    <d v="2015-09-01T00:00:00"/>
    <d v="2018-04-30T00:00:00"/>
    <n v="48000"/>
    <s v="desilpmp@myumanitoba.ca "/>
    <s v="DONE"/>
  </r>
  <r>
    <n v="6851948"/>
    <s v="R"/>
    <s v="Denisuik"/>
    <s v="Andrew"/>
    <x v="15"/>
    <s v="Medicine, College of"/>
    <x v="2"/>
    <n v="18000"/>
    <n v="688.88"/>
    <n v="201390"/>
    <d v="2013-09-01T00:00:00"/>
    <d v="2017-08-31T00:00:00"/>
    <n v="70666.67"/>
    <s v="umdenis4@myumanitoba.ca"/>
    <s v="DUFF ROBLIN"/>
  </r>
  <r>
    <n v="7658423"/>
    <s v="R"/>
    <s v="Diaz"/>
    <s v="Aura"/>
    <x v="17"/>
    <s v="Clayton H. Riddell Faculty of             "/>
    <x v="1"/>
    <n v="4666.67"/>
    <n v="535.38"/>
    <n v="201490"/>
    <d v="2014-09-01T00:00:00"/>
    <d v="2016-08-31T00:00:00"/>
    <n v="28000"/>
    <s v="Aura.Diaz@umanitoba.ca"/>
    <m/>
  </r>
  <r>
    <n v="7765829"/>
    <s v="R"/>
    <s v="Ebeid"/>
    <s v="Mohamed Aly Mohamed Aly"/>
    <x v="31"/>
    <s v="Arts"/>
    <x v="2"/>
    <n v="18000"/>
    <n v="689"/>
    <n v="201490"/>
    <d v="2014-09-01T00:00:00"/>
    <d v="2018-08-31T00:00:00"/>
    <n v="72000"/>
    <s v="EBEID710@YAHOO.COM"/>
    <m/>
  </r>
  <r>
    <n v="7711370"/>
    <s v="R"/>
    <s v="Dorneshan"/>
    <s v="Raana"/>
    <x v="14"/>
    <s v="Architecture (Faculty)"/>
    <x v="1"/>
    <n v="4666.67"/>
    <n v="535.38"/>
    <n v="201490"/>
    <d v="2014-09-01T00:00:00"/>
    <d v="2016-08-31T00:00:00"/>
    <n v="28000"/>
    <s v="dorneshr@myumanitoba.ca"/>
    <m/>
  </r>
  <r>
    <n v="7639262"/>
    <s v="R"/>
    <s v="Doshi"/>
    <s v="Ankit"/>
    <x v="32"/>
    <s v="Science"/>
    <x v="2"/>
    <n v="6000"/>
    <n v="688.54"/>
    <n v="201290"/>
    <d v="2013-09-01T00:00:00"/>
    <d v="2016-08-31T00:00:00"/>
    <n v="52666.67"/>
    <s v="umdoshi@myumanitoba.ca"/>
    <m/>
  </r>
  <r>
    <n v="6771387"/>
    <s v="RM"/>
    <s v="du Plessis"/>
    <s v="Elsabe "/>
    <x v="10"/>
    <s v="Medicine, College of"/>
    <x v="0"/>
    <m/>
    <n v="342.62"/>
    <m/>
    <d v="2014-08-01T00:00:00"/>
    <d v="2016-07-31T00:00:00"/>
    <n v="17850"/>
    <m/>
    <m/>
  </r>
  <r>
    <n v="7770012"/>
    <s v="R"/>
    <s v="Dutta"/>
    <s v="Ramesh"/>
    <x v="33"/>
    <s v="Kinesiology &amp; Recreation Management "/>
    <x v="1"/>
    <n v="4666.67"/>
    <n v="535.38"/>
    <n v="201490"/>
    <d v="2014-09-01T00:00:00"/>
    <d v="2016-08-31T00:00:00"/>
    <n v="28000"/>
    <s v="duttar@myumanitoba.ca"/>
    <s v="DUFF ROBLIN"/>
  </r>
  <r>
    <n v="7616903"/>
    <s v="RM"/>
    <s v="Dyck"/>
    <s v="Scott"/>
    <x v="7"/>
    <s v="Medicine, College of"/>
    <x v="0"/>
    <m/>
    <n v="346.38"/>
    <m/>
    <d v="2015-09-01T00:00:00"/>
    <d v="2016-08-31T00:00:00"/>
    <n v="9075"/>
    <m/>
    <m/>
  </r>
  <r>
    <n v="7764625"/>
    <s v="R"/>
    <s v="Uddin"/>
    <s v="Mohammad Taslim"/>
    <x v="31"/>
    <s v="Arts"/>
    <x v="2"/>
    <n v="18000"/>
    <n v="689"/>
    <n v="201490"/>
    <d v="2014-09-01T00:00:00"/>
    <d v="2018-08-31T00:00:00"/>
    <n v="72000"/>
    <s v="uddinm34@myumanitoba.ca"/>
    <s v="DUFF ROBLIN"/>
  </r>
  <r>
    <s v="7788356"/>
    <s v="R"/>
    <s v="Almeida Nunes"/>
    <s v="Vanessa"/>
    <x v="34"/>
    <s v="Arts"/>
    <x v="2"/>
    <n v="18000"/>
    <n v="689.66"/>
    <n v="201590"/>
    <d v="2015-09-01T00:00:00"/>
    <d v="2019-08-31T00:00:00"/>
    <n v="72000"/>
    <s v="almeida3@myumanitoba.ca "/>
    <s v="DONE"/>
  </r>
  <r>
    <n v="7768293"/>
    <s v="R"/>
    <s v="Ebrahim Nataj"/>
    <s v="Roghayeh"/>
    <x v="19"/>
    <s v="Science"/>
    <x v="2"/>
    <n v="18000"/>
    <n v="690.54"/>
    <n v="201490"/>
    <d v="2015-05-01T00:00:00"/>
    <d v="2018-04-30T00:00:00"/>
    <n v="54000"/>
    <s v="ebrahimr@myumanitoba.ca"/>
    <m/>
  </r>
  <r>
    <n v="7778150"/>
    <s v="RM"/>
    <s v="Eissa"/>
    <s v="Nour Mohamed Elsayed"/>
    <x v="35"/>
    <s v="Medicine, College of"/>
    <x v="0"/>
    <m/>
    <n v="340.66"/>
    <m/>
    <d v="2015-09-01T00:00:00"/>
    <d v="2016-08-31T00:00:00"/>
    <n v="8925"/>
    <m/>
    <m/>
  </r>
  <r>
    <n v="7707352"/>
    <s v="R"/>
    <s v="El-Alawi"/>
    <s v="Aya"/>
    <x v="36"/>
    <s v="Rehabilitation Sciences, College of "/>
    <x v="1"/>
    <n v="9333.33"/>
    <n v="535.38"/>
    <n v="201490"/>
    <d v="2016-01-01T00:00:00"/>
    <d v="2017-04-30T00:00:00"/>
    <n v="28000"/>
    <s v="elalawia@myumanitoba.ca"/>
    <m/>
  </r>
  <r>
    <n v="7616206"/>
    <s v="R"/>
    <s v="Dokurno"/>
    <s v="Karalyn"/>
    <x v="34"/>
    <s v="Arts"/>
    <x v="2"/>
    <n v="6000"/>
    <n v="688.54"/>
    <n v="201290"/>
    <d v="2012-09-01T00:00:00"/>
    <d v="2016-08-31T00:00:00"/>
    <n v="68666.67"/>
    <s v="umdokurn@myumanitoba.ca"/>
    <s v="DUFF ROBLIN"/>
  </r>
  <r>
    <s v="7694351"/>
    <s v="R"/>
    <s v="Ettungalpadi Velayudhan"/>
    <s v="Deepak"/>
    <x v="11"/>
    <s v="Agricultural &amp; Food Sciences      "/>
    <x v="2"/>
    <n v="18000"/>
    <n v="690.54"/>
    <n v="201450"/>
    <d v="2015-05-01T00:00:00"/>
    <d v="2018-04-30T00:00:00"/>
    <n v="54000"/>
    <s v="ETTUNGAD@MYUMANITOBA.CA"/>
    <m/>
  </r>
  <r>
    <s v="7766815"/>
    <s v="R"/>
    <s v="Fazelkhah"/>
    <s v="Azita"/>
    <x v="2"/>
    <s v="Engineering"/>
    <x v="2"/>
    <n v="18000"/>
    <n v="688.78"/>
    <n v="201490"/>
    <d v="2015-09-01T00:00:00"/>
    <d v="2018-08-31T00:00:00"/>
    <n v="54000"/>
    <s v="fazelkha@myumanitoba.ca"/>
    <s v="DONE"/>
  </r>
  <r>
    <s v="6781422"/>
    <s v="R"/>
    <s v="Freeze"/>
    <s v="Trevi"/>
    <x v="4"/>
    <s v="Education Faculty"/>
    <x v="2"/>
    <n v="18000"/>
    <n v="689.66"/>
    <n v="201590"/>
    <d v="2015-09-01T00:00:00"/>
    <d v="2019-08-31T00:00:00"/>
    <n v="72000"/>
    <s v="trevi.freeze@umanitoba.ca"/>
    <s v="no file found"/>
  </r>
  <r>
    <n v="7660689"/>
    <s v="R"/>
    <s v="Friesen"/>
    <s v="Curtis"/>
    <x v="37"/>
    <s v="Rehabilitation Sciences, College of "/>
    <x v="1"/>
    <n v="4666.67"/>
    <n v="535.38"/>
    <n v="201490"/>
    <d v="2014-09-01T00:00:00"/>
    <d v="2016-08-31T00:00:00"/>
    <n v="28000"/>
    <s v="umfri529@myumanitoba.ca"/>
    <m/>
  </r>
  <r>
    <s v="7626429"/>
    <s v="R"/>
    <s v="Froese"/>
    <s v="Alan"/>
    <x v="30"/>
    <s v="Science"/>
    <x v="2"/>
    <n v="18000"/>
    <n v="688.34"/>
    <n v="201390"/>
    <d v="2015-09-01T00:00:00"/>
    <d v="2017-08-31T00:00:00"/>
    <n v="36000"/>
    <s v="umfroes6@myumanitoba.ca "/>
    <s v="DONE"/>
  </r>
  <r>
    <s v="7740050"/>
    <s v="R"/>
    <s v="Fu"/>
    <s v="Chengbo"/>
    <x v="26"/>
    <s v="Business, Asper School of "/>
    <x v="2"/>
    <n v="18000"/>
    <n v="688.34"/>
    <n v="201390"/>
    <d v="2015-09-01T00:00:00"/>
    <d v="2017-08-31T00:00:00"/>
    <n v="36000"/>
    <s v="fuc@myumanitoba.ca "/>
    <s v="DONE"/>
  </r>
  <r>
    <n v="6852937"/>
    <s v="R"/>
    <s v="Geddes"/>
    <s v="Charles"/>
    <x v="38"/>
    <s v="Agricultural &amp; Food Sciences      "/>
    <x v="2"/>
    <n v="18000"/>
    <n v="690.98"/>
    <n v="201310"/>
    <d v="2015-05-01T00:00:00"/>
    <d v="2017-04-30T00:00:00"/>
    <n v="36000"/>
    <s v="umgeddec@myumanitoba.ca"/>
    <m/>
  </r>
  <r>
    <n v="7638771"/>
    <s v="R"/>
    <s v="Dykstra Dykerman"/>
    <s v="Katelyn"/>
    <x v="34"/>
    <s v="Arts"/>
    <x v="2"/>
    <n v="18000"/>
    <n v="688.88"/>
    <n v="201290"/>
    <d v="2013-09-01T00:00:00"/>
    <d v="2017-08-31T00:00:00"/>
    <n v="70666.67"/>
    <s v="umdykstk@myumanitoba.ca"/>
    <s v="DUFF ROBLIN"/>
  </r>
  <r>
    <n v="7750937"/>
    <s v="R"/>
    <s v="Ghazy"/>
    <s v="Ahmed"/>
    <x v="29"/>
    <s v="Engineering"/>
    <x v="2"/>
    <n v="18000"/>
    <n v="690.54"/>
    <n v="201410"/>
    <d v="2015-01-01T00:00:00"/>
    <d v="2017-12-31T00:00:00"/>
    <n v="54000"/>
    <s v="ghazya@umanitoba.ca"/>
    <m/>
  </r>
  <r>
    <n v="7612743"/>
    <s v="RM"/>
    <s v="Golden"/>
    <s v="Alyssa"/>
    <x v="15"/>
    <s v="Medicine, College of"/>
    <x v="0"/>
    <m/>
    <n v="346.38"/>
    <m/>
    <d v="2015-09-01T00:00:00"/>
    <d v="2016-08-31T00:00:00"/>
    <n v="9075"/>
    <m/>
    <m/>
  </r>
  <r>
    <n v="7776484"/>
    <s v="RM"/>
    <s v="Graydon"/>
    <s v="Colin"/>
    <x v="15"/>
    <s v="Medicine, College of"/>
    <x v="0"/>
    <m/>
    <n v="340.66"/>
    <m/>
    <d v="2015-09-01T00:00:00"/>
    <d v="2016-08-31T00:00:00"/>
    <n v="8925"/>
    <m/>
    <m/>
  </r>
  <r>
    <n v="6852280"/>
    <s v="R"/>
    <s v="Guest"/>
    <s v="Benson"/>
    <x v="3"/>
    <s v="Science"/>
    <x v="2"/>
    <n v="18000"/>
    <n v="688.78"/>
    <n v="201390"/>
    <d v="2014-09-01T00:00:00"/>
    <d v="2017-08-31T00:00:00"/>
    <n v="54000"/>
    <s v="umguest@myumanitoba.ca"/>
    <m/>
  </r>
  <r>
    <n v="7790130"/>
    <s v="R"/>
    <s v="Hajipour"/>
    <s v="Farahnaz"/>
    <x v="39"/>
    <s v="Graduate Studies"/>
    <x v="2"/>
    <n v="18000"/>
    <n v="689.66"/>
    <n v="201590"/>
    <d v="2015-09-01T00:00:00"/>
    <d v="2019-08-31T00:00:00"/>
    <n v="72000"/>
    <s v="hajipouf@myumanitoba.ca"/>
    <m/>
  </r>
  <r>
    <s v="7790898"/>
    <s v="R"/>
    <s v="Hamad"/>
    <s v="Amani"/>
    <x v="0"/>
    <s v="Pharmacy, College of"/>
    <x v="2"/>
    <n v="18000"/>
    <n v="689.66"/>
    <n v="201590"/>
    <d v="2015-09-01T00:00:00"/>
    <d v="2019-08-31T00:00:00"/>
    <n v="72000"/>
    <s v="hamada@myumanitoba.ca "/>
    <s v="DONE"/>
  </r>
  <r>
    <n v="7669743"/>
    <s v="R"/>
    <s v="Hamm"/>
    <s v="Naomi"/>
    <x v="33"/>
    <s v="Kinesiology &amp; Recreation Management "/>
    <x v="1"/>
    <n v="4666.67"/>
    <n v="535.38"/>
    <n v="201490"/>
    <d v="2014-09-01T00:00:00"/>
    <d v="2016-08-31T00:00:00"/>
    <n v="28000"/>
    <s v="lettn@myumanitoba.ca"/>
    <m/>
  </r>
  <r>
    <n v="7759853"/>
    <s v="R"/>
    <s v="Haque"/>
    <s v="Md Aminul"/>
    <x v="13"/>
    <s v="Clayton H. Riddell Faculty of             "/>
    <x v="2"/>
    <n v="18000"/>
    <n v="690.54"/>
    <n v="201450"/>
    <d v="2015-05-01T00:00:00"/>
    <d v="2018-04-30T00:00:00"/>
    <n v="54000"/>
    <s v="haquema@myumanitoba.ca"/>
    <m/>
  </r>
  <r>
    <n v="7790774"/>
    <s v="RM"/>
    <s v="Hasan"/>
    <s v="SM Naimul"/>
    <x v="40"/>
    <s v="Medicine, College of"/>
    <x v="0"/>
    <m/>
    <n v="341.32"/>
    <m/>
    <d v="2015-09-01T00:00:00"/>
    <d v="2017-08-31T00:00:00"/>
    <n v="17850"/>
    <m/>
    <m/>
  </r>
  <r>
    <n v="7725111"/>
    <s v="R"/>
    <s v="Hettiarachchi"/>
    <s v="Randima"/>
    <x v="2"/>
    <s v="Engineering"/>
    <x v="2"/>
    <n v="18000"/>
    <n v="690.54"/>
    <n v="201310"/>
    <d v="2014-05-01T00:00:00"/>
    <d v="2017-04-30T00:00:00"/>
    <n v="54000"/>
    <s v="hettiarr@myumanitoba.ca"/>
    <m/>
  </r>
  <r>
    <n v="7717781"/>
    <s v="R"/>
    <s v="Howell"/>
    <s v="Meghan"/>
    <x v="1"/>
    <s v="Nursing, College of"/>
    <x v="1"/>
    <n v="4666.67"/>
    <n v="535.38"/>
    <n v="201490"/>
    <d v="2014-09-01T00:00:00"/>
    <d v="2016-08-31T00:00:00"/>
    <n v="28000"/>
    <s v="howellm@myumanitoba.ca"/>
    <m/>
  </r>
  <r>
    <n v="6811954"/>
    <s v="R"/>
    <s v="Howell"/>
    <s v="Steven"/>
    <x v="2"/>
    <s v="Engineering"/>
    <x v="2"/>
    <n v="18000"/>
    <n v="688.88"/>
    <n v="201390"/>
    <d v="2014-01-01T00:00:00"/>
    <d v="2017-08-31T00:00:00"/>
    <n v="66000"/>
    <s v="umhowel8@myumanitoba.ca"/>
    <m/>
  </r>
  <r>
    <n v="7685297"/>
    <s v="R"/>
    <s v="Al-Deaibes"/>
    <s v="Mutasim"/>
    <x v="41"/>
    <s v="Arts"/>
    <x v="2"/>
    <n v="6000"/>
    <n v="688.54"/>
    <n v="201290"/>
    <d v="2013-09-01T00:00:00"/>
    <d v="2016-08-31T00:00:00"/>
    <n v="20666.669999999998"/>
    <s v="aldeaibm@myumanitoba.ca"/>
    <m/>
  </r>
  <r>
    <n v="7613944"/>
    <s v="R"/>
    <s v="Hyde"/>
    <s v="Paul "/>
    <x v="3"/>
    <s v="Science"/>
    <x v="2"/>
    <n v="18000"/>
    <n v="690.54"/>
    <n v="201510"/>
    <d v="2015-05-01T00:00:00"/>
    <d v="2018-04-30T00:00:00"/>
    <n v="54000"/>
    <s v="umhydep@cc.umanitoba.ca"/>
    <m/>
  </r>
  <r>
    <n v="7765258"/>
    <s v="R"/>
    <s v="Ikram"/>
    <s v="Madiha"/>
    <x v="26"/>
    <s v="Business, Asper School of "/>
    <x v="1"/>
    <n v="4666.67"/>
    <n v="535.38"/>
    <n v="201490"/>
    <d v="2014-09-01T00:00:00"/>
    <d v="2016-08-31T00:00:00"/>
    <n v="28000"/>
    <s v="ikramm@myumanitoba.ca"/>
    <s v="DUFF ROBLIN"/>
  </r>
  <r>
    <n v="7680743"/>
    <s v="R"/>
    <s v="Illangakoon Mudiyanselage"/>
    <s v="Chathura"/>
    <x v="2"/>
    <s v="Engineering"/>
    <x v="2"/>
    <n v="6000"/>
    <n v="688.34"/>
    <n v="201310"/>
    <d v="2014-09-01T00:00:00"/>
    <d v="2016-08-31T00:00:00"/>
    <n v="36000"/>
    <s v="umillang@myumanitoba.ca"/>
    <m/>
  </r>
  <r>
    <n v="7743639"/>
    <s v="RM"/>
    <s v="Iqbal"/>
    <s v="Mohamed Ariff"/>
    <x v="7"/>
    <s v="Medicine, College of"/>
    <x v="0"/>
    <m/>
    <n v="342.62"/>
    <m/>
    <d v="2014-08-01T00:00:00"/>
    <d v="2016-07-31T00:00:00"/>
    <n v="17850"/>
    <m/>
    <m/>
  </r>
  <r>
    <n v="7754046"/>
    <s v="R"/>
    <s v="Jaggupilli"/>
    <s v="Apalaraju"/>
    <x v="42"/>
    <s v="Dentistry, College of"/>
    <x v="2"/>
    <n v="18000"/>
    <n v="688.78"/>
    <n v="201390"/>
    <d v="2014-09-01T00:00:00"/>
    <d v="2017-08-31T00:00:00"/>
    <n v="54000"/>
    <s v="jaggupia@myumanitoba.ca"/>
    <m/>
  </r>
  <r>
    <s v="7708371"/>
    <s v="R"/>
    <s v="Janani"/>
    <s v="Hamed"/>
    <x v="2"/>
    <s v="Engineering"/>
    <x v="2"/>
    <n v="6000"/>
    <n v="687.04"/>
    <n v="201290"/>
    <d v="2015-09-01T00:00:00"/>
    <d v="2016-08-31T00:00:00"/>
    <n v="18000"/>
    <s v="jananih@myumanitoba.ca "/>
    <s v="DONE"/>
  </r>
  <r>
    <n v="7624215"/>
    <s v="R"/>
    <s v="Janis"/>
    <s v="Leighton"/>
    <x v="43"/>
    <s v="Architecture (Faculty)"/>
    <x v="1"/>
    <n v="4666.67"/>
    <n v="535.38"/>
    <n v="201490"/>
    <d v="2014-09-01T00:00:00"/>
    <d v="2016-08-31T00:00:00"/>
    <n v="28000"/>
    <s v="umjanisl@cc.umanitoba.ca"/>
    <m/>
  </r>
  <r>
    <n v="7671599"/>
    <s v="R"/>
    <s v="Jankov"/>
    <s v="Mateja"/>
    <x v="44"/>
    <s v="Arts"/>
    <x v="1"/>
    <n v="4666.67"/>
    <n v="535.38"/>
    <n v="201490"/>
    <d v="2014-09-01T00:00:00"/>
    <d v="2016-08-31T00:00:00"/>
    <n v="28000"/>
    <s v="umjankov@myumanitoba.ca"/>
    <m/>
  </r>
  <r>
    <n v="7704435"/>
    <s v="R"/>
    <s v="Jeke"/>
    <s v="Nicholson"/>
    <x v="45"/>
    <s v="Agricultural &amp; Food Sciences      "/>
    <x v="2"/>
    <n v="18000"/>
    <n v="690.32"/>
    <n v="201510"/>
    <d v="2015-05-01T00:00:00"/>
    <d v="2019-04-30T00:00:00"/>
    <n v="72000"/>
    <s v="jeken@myumanitoba.ca"/>
    <m/>
  </r>
  <r>
    <n v="7659393"/>
    <s v="R"/>
    <s v="Jones"/>
    <s v="Alina"/>
    <x v="36"/>
    <s v="Rehabilitation Sciences, College of "/>
    <x v="1"/>
    <n v="4666.67"/>
    <n v="535.38"/>
    <n v="201490"/>
    <d v="2014-09-01T00:00:00"/>
    <d v="2016-08-31T00:00:00"/>
    <n v="28000"/>
    <s v="jonesa35@myumanitoba.ca"/>
    <m/>
  </r>
  <r>
    <n v="7729278"/>
    <s v="R"/>
    <s v="Jones"/>
    <s v="David"/>
    <x v="14"/>
    <s v="Architecture (Faculty)"/>
    <x v="1"/>
    <n v="4666.67"/>
    <n v="535.38"/>
    <n v="201490"/>
    <d v="2014-09-01T00:00:00"/>
    <d v="2016-08-31T00:00:00"/>
    <n v="28000"/>
    <s v="jonesd38@myumanitoba.ca"/>
    <s v=" "/>
  </r>
  <r>
    <n v="7612961"/>
    <s v="R"/>
    <s v="Jones"/>
    <s v="Emily"/>
    <x v="46"/>
    <s v="Architecture (Faculty)"/>
    <x v="1"/>
    <n v="4666.67"/>
    <n v="535.38"/>
    <n v="201490"/>
    <d v="2014-09-01T00:00:00"/>
    <d v="2016-08-31T00:00:00"/>
    <n v="28000"/>
    <s v="umjone26@cc.umanitoba.ca"/>
    <m/>
  </r>
  <r>
    <s v="7617572"/>
    <s v="R"/>
    <s v="Cenerini"/>
    <s v="Chantale"/>
    <x v="41"/>
    <s v="Arts"/>
    <x v="2"/>
    <n v="18000"/>
    <n v="689.66"/>
    <n v="201590"/>
    <d v="2015-09-01T00:00:00"/>
    <d v="2019-08-31T00:00:00"/>
    <n v="72000"/>
    <s v="umcenerc@myumanitoba.ca "/>
    <s v="DONE"/>
  </r>
  <r>
    <n v="7765024"/>
    <s v="R"/>
    <s v="Kaur"/>
    <s v="Rajbir"/>
    <x v="47"/>
    <s v="Agricultural &amp; Food Sciences      "/>
    <x v="1"/>
    <n v="4666.67"/>
    <n v="535.38"/>
    <n v="201490"/>
    <d v="2014-09-01T00:00:00"/>
    <d v="2016-08-31T00:00:00"/>
    <n v="28000"/>
    <s v="kaurr346@myumanitoba.ca"/>
    <s v="DUFF ROBLIN"/>
  </r>
  <r>
    <n v="7746107"/>
    <s v="R"/>
    <s v="Kaur"/>
    <s v="Satwant"/>
    <x v="48"/>
    <s v="Clayton H. Riddell Faculty of             "/>
    <x v="2"/>
    <n v="18000"/>
    <n v="688.88"/>
    <n v="201390"/>
    <d v="2013-09-01T00:00:00"/>
    <d v="2017-08-31T00:00:00"/>
    <n v="64000"/>
    <s v="kaurs34@myumanitoba.ca"/>
    <m/>
  </r>
  <r>
    <n v="7705105"/>
    <s v="R"/>
    <s v="Kerherve"/>
    <s v="Sebastien Olivier"/>
    <x v="3"/>
    <s v="Science"/>
    <x v="2"/>
    <n v="12000"/>
    <n v="688.68"/>
    <n v="201210"/>
    <d v="2013-09-01T00:00:00"/>
    <d v="2016-12-31T00:00:00"/>
    <n v="58666.93"/>
    <s v="kerhervs@cc.umanitoba.ca"/>
    <m/>
  </r>
  <r>
    <n v="7634756"/>
    <s v="R"/>
    <s v="Kernaghan"/>
    <s v="Alana"/>
    <x v="44"/>
    <s v="Arts"/>
    <x v="1"/>
    <n v="4666.67"/>
    <n v="535.38"/>
    <n v="201490"/>
    <d v="2014-09-01T00:00:00"/>
    <d v="2016-08-31T00:00:00"/>
    <n v="28000"/>
    <s v="Alana.Kernaghan@umanitoba.ca"/>
    <m/>
  </r>
  <r>
    <n v="7697678"/>
    <s v="R"/>
    <s v="Khalili Ghomi"/>
    <s v="Shervin"/>
    <x v="29"/>
    <s v="Engineering"/>
    <x v="2"/>
    <n v="18000"/>
    <n v="690.54"/>
    <n v="201450"/>
    <d v="2015-05-01T00:00:00"/>
    <d v="2018-04-30T00:00:00"/>
    <n v="54000"/>
    <s v="khalilis@myumanitoba.ca"/>
    <m/>
  </r>
  <r>
    <s v="7792706"/>
    <s v="R"/>
    <s v="Khan"/>
    <s v="Fahad Sarwar"/>
    <x v="45"/>
    <s v="Agricultural &amp; Food Sciences      "/>
    <x v="2"/>
    <n v="18000"/>
    <n v="689.66"/>
    <n v="201590"/>
    <d v="2015-09-01T00:00:00"/>
    <d v="2019-08-31T00:00:00"/>
    <n v="72000"/>
    <s v="khanfs@cc.umanitoba.ca "/>
    <s v="DONE"/>
  </r>
  <r>
    <s v="7712551"/>
    <s v="R"/>
    <s v="Khosrozadeh"/>
    <s v="Ali"/>
    <x v="6"/>
    <s v="Engineering"/>
    <x v="2"/>
    <n v="6000"/>
    <n v="687.04"/>
    <n v="201290"/>
    <d v="2015-09-01T00:00:00"/>
    <d v="2016-08-31T00:00:00"/>
    <n v="18000"/>
    <s v="Ali.Khosrozadeh@umanitoba.ca "/>
    <s v="DONE"/>
  </r>
  <r>
    <s v="7782559"/>
    <s v="R"/>
    <s v="Kim"/>
    <s v="Jongwoong"/>
    <x v="11"/>
    <s v="Agricultural &amp; Food Sciences      "/>
    <x v="2"/>
    <n v="18000"/>
    <n v="689.66"/>
    <n v="201590"/>
    <d v="2015-09-01T00:00:00"/>
    <d v="2019-08-31T00:00:00"/>
    <n v="72000"/>
    <s v="kimjw@cc.umanitoba.ca "/>
    <s v="DONE"/>
  </r>
  <r>
    <n v="7765826"/>
    <s v="R"/>
    <s v="Klassen"/>
    <s v="Shelisa"/>
    <x v="49"/>
    <s v="Arts"/>
    <x v="1"/>
    <n v="4666.67"/>
    <n v="535.38"/>
    <n v="201490"/>
    <d v="2014-09-01T00:00:00"/>
    <d v="2016-08-31T00:00:00"/>
    <n v="28000"/>
    <s v="klass134@myumanitoba.ca"/>
    <m/>
  </r>
  <r>
    <s v="7761310"/>
    <s v="R"/>
    <s v="Koul"/>
    <s v="Amit"/>
    <x v="20"/>
    <s v="Science"/>
    <x v="2"/>
    <n v="18000"/>
    <n v="688.78"/>
    <n v="201450"/>
    <d v="2015-09-01T00:00:00"/>
    <d v="2018-08-31T00:00:00"/>
    <n v="54000"/>
    <s v="KOULA@MYUMANITOBA.CA "/>
    <s v="DONE"/>
  </r>
  <r>
    <n v="6505666"/>
    <s v="R"/>
    <s v="Krahn"/>
    <s v="Sandra"/>
    <x v="16"/>
    <s v="Graduate Studies"/>
    <x v="2"/>
    <n v="6000"/>
    <n v="688.34"/>
    <n v="201290"/>
    <d v="2014-09-01T00:00:00"/>
    <d v="2016-08-31T00:00:00"/>
    <n v="36000"/>
    <s v="umkrah35@myumanitoba.ca"/>
    <m/>
  </r>
  <r>
    <n v="7771154"/>
    <s v="R"/>
    <s v="Kulkarni"/>
    <s v="Kartik"/>
    <x v="23"/>
    <s v="Graduate Studies"/>
    <x v="2"/>
    <n v="18000"/>
    <n v="689"/>
    <n v="201490"/>
    <d v="2014-09-01T00:00:00"/>
    <d v="2018-08-31T00:00:00"/>
    <n v="72000"/>
    <s v="kulkarnk@myumanitoba.ca"/>
    <m/>
  </r>
  <r>
    <n v="7763212"/>
    <s v="R"/>
    <s v="Kuznetcov"/>
    <s v="Anton"/>
    <x v="6"/>
    <s v="Engineering"/>
    <x v="2"/>
    <n v="18000"/>
    <n v="690.32"/>
    <n v="201490"/>
    <d v="2014-05-01T00:00:00"/>
    <d v="2018-04-30T00:00:00"/>
    <n v="72000"/>
    <s v="kuznetca@myumanitoba.ca"/>
    <m/>
  </r>
  <r>
    <n v="7759971"/>
    <s v="R"/>
    <s v="Kuznetsova"/>
    <s v="Alexandra"/>
    <x v="16"/>
    <s v="Graduate Studies"/>
    <x v="2"/>
    <n v="18000"/>
    <n v="690.32"/>
    <n v="201510"/>
    <d v="2015-05-01T00:00:00"/>
    <d v="2019-04-30T00:00:00"/>
    <n v="72000"/>
    <s v="kuznetsa@myumanitoba.ca"/>
    <m/>
  </r>
  <r>
    <s v="7767837"/>
    <s v="R"/>
    <s v="Hughes"/>
    <s v="Mary-Imelda Micheline"/>
    <x v="50"/>
    <s v="Arts"/>
    <x v="2"/>
    <n v="18000"/>
    <n v="688.78"/>
    <n v="201490"/>
    <d v="2015-09-01T00:00:00"/>
    <d v="2018-08-31T00:00:00"/>
    <n v="54000"/>
    <s v="hughesm8@myumanitoba.ca"/>
    <s v="DONE"/>
  </r>
  <r>
    <n v="7718143"/>
    <s v="R"/>
    <s v="Lebel"/>
    <s v="Zoe"/>
    <x v="14"/>
    <s v="Architecture (Faculty)"/>
    <x v="1"/>
    <n v="4666.67"/>
    <n v="535.38"/>
    <n v="201490"/>
    <d v="2014-09-01T00:00:00"/>
    <d v="2016-08-31T00:00:00"/>
    <n v="28000"/>
    <s v="Zoe.Lebel@umanitoba.ca"/>
    <m/>
  </r>
  <r>
    <n v="7613350"/>
    <s v="R"/>
    <s v="Levin"/>
    <s v="Kirill"/>
    <x v="20"/>
    <s v="Science"/>
    <x v="2"/>
    <n v="18000"/>
    <n v="690.98"/>
    <n v="201350"/>
    <d v="2015-05-01T00:00:00"/>
    <d v="2017-04-30T00:00:00"/>
    <n v="36000"/>
    <s v="umlevin7@myumanitoba.ca"/>
    <m/>
  </r>
  <r>
    <n v="7750048"/>
    <s v="R"/>
    <s v="Lin"/>
    <s v="Yang"/>
    <x v="38"/>
    <s v="Agricultural &amp; Food Sciences      "/>
    <x v="2"/>
    <n v="18000"/>
    <n v="690.54"/>
    <n v="201410"/>
    <d v="2015-05-01T00:00:00"/>
    <d v="2018-04-30T00:00:00"/>
    <n v="54000"/>
    <s v="ling3457@myumanitoba.ca"/>
    <m/>
  </r>
  <r>
    <n v="6846451"/>
    <s v="R"/>
    <s v="Lv"/>
    <s v="Jiaqing"/>
    <x v="2"/>
    <s v="Engineering"/>
    <x v="2"/>
    <n v="12000"/>
    <n v="688.68"/>
    <n v="201310"/>
    <d v="2013-05-01T00:00:00"/>
    <d v="2016-12-31T00:00:00"/>
    <n v="60000"/>
    <s v="umlvj@cc.umanitoba.ca"/>
    <m/>
  </r>
  <r>
    <n v="7714307"/>
    <s v="R"/>
    <s v="MacLean"/>
    <s v="Justine"/>
    <x v="18"/>
    <s v="Arts"/>
    <x v="1"/>
    <n v="4666.67"/>
    <n v="535.38"/>
    <n v="201490"/>
    <d v="2014-09-01T00:00:00"/>
    <d v="2016-08-31T00:00:00"/>
    <n v="28000"/>
    <s v="maclean9@myumanitoba.ca"/>
    <m/>
  </r>
  <r>
    <n v="7764408"/>
    <s v="R"/>
    <s v="Maiangwa"/>
    <s v="Benjamin"/>
    <x v="16"/>
    <s v="Graduate Studies"/>
    <x v="2"/>
    <n v="18000"/>
    <m/>
    <n v="201510"/>
    <d v="2015-05-01T00:00:00"/>
    <d v="2019-04-30T00:00:00"/>
    <n v="72000"/>
    <s v="maiangwb@myumanitoba.ca"/>
    <m/>
  </r>
  <r>
    <n v="7606648"/>
    <s v="R"/>
    <s v="Manghera"/>
    <s v="Mamneet"/>
    <x v="35"/>
    <s v="Medicine, College of"/>
    <x v="2"/>
    <n v="18000"/>
    <m/>
    <n v="201590"/>
    <d v="2015-09-01T00:00:00"/>
    <d v="2019-08-31T00:00:00"/>
    <n v="72000"/>
    <s v="mangherm@myumanitoba.ca"/>
    <m/>
  </r>
  <r>
    <n v="7619979"/>
    <s v="RM"/>
    <s v="McAndrew"/>
    <s v="Erin"/>
    <x v="40"/>
    <s v="Medicine, College of"/>
    <x v="1"/>
    <m/>
    <m/>
    <m/>
    <d v="2015-09-01T00:00:00"/>
    <d v="2016-08-31T00:00:00"/>
    <n v="8925"/>
    <m/>
    <m/>
  </r>
  <r>
    <n v="7767732"/>
    <s v="R"/>
    <s v="McKie"/>
    <s v="Sean"/>
    <x v="44"/>
    <s v="Arts"/>
    <x v="1"/>
    <n v="4666.67"/>
    <n v="535.38"/>
    <n v="201490"/>
    <d v="2014-09-01T00:00:00"/>
    <d v="2016-08-31T00:00:00"/>
    <n v="28000"/>
    <s v="mckies@myumanitoba.ca"/>
    <s v="DUFF ROBLIN"/>
  </r>
  <r>
    <s v="7641934"/>
    <s v="R"/>
    <s v="McRae"/>
    <s v="Ewan"/>
    <x v="20"/>
    <s v="Science"/>
    <x v="2"/>
    <n v="18000"/>
    <m/>
    <n v="201510"/>
    <d v="2015-09-01T00:00:00"/>
    <d v="2019-04-30T00:00:00"/>
    <n v="66000"/>
    <s v="ummcra23@myumanitoba.ca"/>
    <s v="DONE"/>
  </r>
  <r>
    <n v="7672322"/>
    <s v="R"/>
    <s v="Mejicanos"/>
    <s v="Gustavo"/>
    <x v="11"/>
    <s v="Agricultural &amp; Food Sciences      "/>
    <x v="2"/>
    <n v="18000"/>
    <n v="690.32"/>
    <n v="201510"/>
    <d v="2015-01-01T00:00:00"/>
    <d v="2018-12-31T00:00:00"/>
    <n v="72000"/>
    <s v="UMMEJICG@MYUMANITOBA.CA"/>
    <m/>
  </r>
  <r>
    <n v="7708575"/>
    <s v="R"/>
    <s v="Mikula"/>
    <s v="Paul"/>
    <x v="3"/>
    <s v="Science"/>
    <x v="2"/>
    <n v="18000"/>
    <m/>
    <n v="201510"/>
    <d v="2015-05-01T00:00:00"/>
    <d v="2019-04-30T00:00:00"/>
    <n v="72000"/>
    <s v="mikulap@myumanitoba.ca"/>
    <m/>
  </r>
  <r>
    <n v="7754126"/>
    <s v="RM"/>
    <s v="Mohammed"/>
    <s v="Ashfaque "/>
    <x v="35"/>
    <s v="Medicine, College of"/>
    <x v="0"/>
    <m/>
    <n v="341.32"/>
    <m/>
    <d v="2014-09-01T00:00:00"/>
    <d v="2016-08-31T00:00:00"/>
    <n v="17850"/>
    <m/>
    <m/>
  </r>
  <r>
    <n v="7667268"/>
    <s v="R"/>
    <s v="Mondal"/>
    <s v="Debajyoti"/>
    <x v="12"/>
    <s v="Science"/>
    <x v="2"/>
    <n v="6000"/>
    <n v="688.54"/>
    <n v="201290"/>
    <d v="2012-09-01T00:00:00"/>
    <d v="2016-08-31T00:00:00"/>
    <n v="68666.67"/>
    <s v="ummondal@myumanitoba.ca"/>
    <m/>
  </r>
  <r>
    <n v="6777254"/>
    <s v="R"/>
    <s v="Moran"/>
    <s v="Tammy"/>
    <x v="1"/>
    <s v="Nursing, College of"/>
    <x v="1"/>
    <n v="4666.67"/>
    <n v="535.38"/>
    <n v="201490"/>
    <d v="2014-09-01T00:00:00"/>
    <d v="2016-08-31T00:00:00"/>
    <n v="28000"/>
    <s v="ummorant@myumanitoba.ca"/>
    <m/>
  </r>
  <r>
    <n v="6783729"/>
    <s v="R"/>
    <s v="Morissette"/>
    <s v="Marc"/>
    <x v="23"/>
    <s v="Graduate Studies"/>
    <x v="2"/>
    <n v="18000"/>
    <n v="688.78"/>
    <n v="201410"/>
    <d v="2014-09-01T00:00:00"/>
    <d v="2017-08-31T00:00:00"/>
    <n v="54000"/>
    <s v="ummoris4@cc.umanitoba.ca"/>
    <m/>
  </r>
  <r>
    <n v="7762332"/>
    <s v="RM"/>
    <s v="Morton"/>
    <s v="Darrien "/>
    <x v="10"/>
    <s v="Medicine, College of"/>
    <x v="0"/>
    <m/>
    <n v="341.32"/>
    <m/>
    <d v="2014-09-01T00:00:00"/>
    <d v="2016-08-31T00:00:00"/>
    <n v="17850"/>
    <m/>
    <m/>
  </r>
  <r>
    <s v="7755162"/>
    <s v="R"/>
    <s v="Mostamand"/>
    <s v="Maryam"/>
    <x v="3"/>
    <s v="Science"/>
    <x v="2"/>
    <n v="18000"/>
    <n v="688.78"/>
    <n v="201490"/>
    <d v="2015-09-01T00:00:00"/>
    <d v="2018-08-31T00:00:00"/>
    <n v="54000"/>
    <s v="mostamam@myumanitoba.ca "/>
    <s v="DONE"/>
  </r>
  <r>
    <n v="6792997"/>
    <s v="RM"/>
    <s v="Mughal"/>
    <s v="Wajihah"/>
    <x v="21"/>
    <s v="Medicine, College of"/>
    <x v="0"/>
    <m/>
    <n v="347.04"/>
    <m/>
    <d v="2015-09-01T00:00:00"/>
    <d v="2017-08-31T00:00:00"/>
    <n v="18150"/>
    <m/>
    <m/>
  </r>
  <r>
    <n v="7529807"/>
    <s v="R"/>
    <s v="Muirhead"/>
    <s v="Stephen"/>
    <x v="43"/>
    <s v="Architecture (Faculty)"/>
    <x v="1"/>
    <n v="4666.67"/>
    <n v="535.38"/>
    <n v="201490"/>
    <d v="2014-09-01T00:00:00"/>
    <d v="2016-08-31T00:00:00"/>
    <n v="28000"/>
    <s v="ummuirhs@myumanitoba.ca"/>
    <m/>
  </r>
  <r>
    <n v="7723968"/>
    <s v="R"/>
    <s v="Munira"/>
    <s v="Sirajum"/>
    <x v="45"/>
    <s v="Agricultural &amp; Food Sciences      "/>
    <x v="2"/>
    <n v="12000"/>
    <n v="688.68"/>
    <n v="201310"/>
    <d v="2013-01-01T00:00:00"/>
    <d v="2016-12-31T00:00:00"/>
    <n v="69333.33"/>
    <s v="muniras@myumanitoba.ca"/>
    <m/>
  </r>
  <r>
    <n v="7650463"/>
    <s v="R"/>
    <s v="Munyaka"/>
    <s v="Peris  M"/>
    <x v="11"/>
    <s v="Agricultural &amp; Food Sciences      "/>
    <x v="2"/>
    <n v="12000"/>
    <n v="688.68"/>
    <n v="201310"/>
    <d v="2013-05-01T00:00:00"/>
    <d v="2016-12-31T00:00:00"/>
    <n v="64000.29"/>
    <s v="ummunyak@myumanitoba.ca"/>
    <m/>
  </r>
  <r>
    <n v="7730089"/>
    <s v="R"/>
    <s v="Carther-Krone"/>
    <s v="Tiffany"/>
    <x v="18"/>
    <s v="Arts"/>
    <x v="2"/>
    <n v="18000"/>
    <n v="690.32"/>
    <n v="201510"/>
    <d v="2015-01-01T00:00:00"/>
    <d v="2018-12-31T00:00:00"/>
    <n v="72000"/>
    <s v="lazart@cc.umanitoba.ca"/>
    <m/>
  </r>
  <r>
    <n v="7745887"/>
    <s v="R"/>
    <s v="Ndou"/>
    <s v="Saymore"/>
    <x v="11"/>
    <s v="Agricultural &amp; Food Sciences      "/>
    <x v="2"/>
    <n v="18000"/>
    <n v="690.54"/>
    <n v="201410"/>
    <d v="2015-05-01T00:00:00"/>
    <d v="2018-04-30T00:00:00"/>
    <n v="54000"/>
    <s v="ndous@myumanitoba.ca"/>
    <m/>
  </r>
  <r>
    <n v="7753839"/>
    <s v="R"/>
    <s v="Nematollahi"/>
    <s v="Ali "/>
    <x v="6"/>
    <s v="Engineering"/>
    <x v="2"/>
    <n v="18000"/>
    <n v="690.54"/>
    <n v="201450"/>
    <d v="2015-05-01T00:00:00"/>
    <d v="2018-04-30T00:00:00"/>
    <n v="54000"/>
    <s v="nematola@myumanitoba.ca"/>
    <m/>
  </r>
  <r>
    <n v="6844272"/>
    <s v="R"/>
    <s v="Curtis"/>
    <s v="Evan  Thomas"/>
    <x v="18"/>
    <s v="Arts"/>
    <x v="2"/>
    <n v="6000"/>
    <n v="688.54"/>
    <n v="201290"/>
    <d v="2012-09-01T00:00:00"/>
    <d v="2016-08-31T00:00:00"/>
    <n v="68666.67"/>
    <s v="curtise@cc.umanitoba.ca"/>
    <m/>
  </r>
  <r>
    <n v="7749597"/>
    <s v="R"/>
    <s v="Nnaji"/>
    <s v="Nichodemus"/>
    <x v="51"/>
    <s v="Law"/>
    <x v="1"/>
    <n v="4666.67"/>
    <n v="535.38"/>
    <n v="201490"/>
    <d v="2014-09-01T00:00:00"/>
    <d v="2016-08-31T00:00:00"/>
    <n v="28000"/>
    <s v="nnajin@myumanitoba.ca"/>
    <m/>
  </r>
  <r>
    <s v="7787835"/>
    <s v="R"/>
    <s v="Norouzi"/>
    <s v="Mohammad"/>
    <x v="39"/>
    <s v="Graduate Studies"/>
    <x v="2"/>
    <n v="18000"/>
    <n v="689.66"/>
    <n v="201590"/>
    <d v="2015-09-01T00:00:00"/>
    <d v="2019-08-31T00:00:00"/>
    <n v="72000"/>
    <s v="norouzim@cc.umanitoba.ca"/>
    <s v="no file found"/>
  </r>
  <r>
    <n v="6788419"/>
    <s v="R"/>
    <s v="Oduntan"/>
    <s v="Olayinka Idowu"/>
    <x v="12"/>
    <s v="Science"/>
    <x v="2"/>
    <n v="6000"/>
    <n v="688.54"/>
    <n v="201310"/>
    <d v="2013-05-01T00:00:00"/>
    <d v="2016-08-31T00:00:00"/>
    <n v="58000.259999999995"/>
    <s v="umodunta@myumanitoba.ca"/>
    <m/>
  </r>
  <r>
    <n v="7718489"/>
    <s v="R"/>
    <s v="Ouf"/>
    <s v="Mohamed"/>
    <x v="29"/>
    <s v="Engineering"/>
    <x v="2"/>
    <n v="6000"/>
    <n v="688.34"/>
    <n v="201290"/>
    <d v="2014-09-01T00:00:00"/>
    <d v="2016-08-31T00:00:00"/>
    <n v="36000"/>
    <s v="oufm@cc.umanitoba.ca"/>
    <m/>
  </r>
  <r>
    <n v="7734753"/>
    <s v="R"/>
    <s v="Ozoike"/>
    <s v="Patricia"/>
    <x v="9"/>
    <s v="Clayton H. Riddell Faculty of             "/>
    <x v="1"/>
    <n v="4666.67"/>
    <n v="535.38"/>
    <n v="201490"/>
    <d v="2014-09-01T00:00:00"/>
    <d v="2016-08-31T00:00:00"/>
    <n v="28000"/>
    <s v="ozoikep@myumanitoba.ca"/>
    <m/>
  </r>
  <r>
    <s v="7662023"/>
    <s v="R"/>
    <s v="Erickson"/>
    <s v="Julie"/>
    <x v="18"/>
    <s v="Arts"/>
    <x v="2"/>
    <n v="6000"/>
    <n v="687.04"/>
    <n v="201290"/>
    <d v="2015-09-01T00:00:00"/>
    <d v="2016-08-31T00:00:00"/>
    <n v="18000"/>
    <s v="umeric27@myumanitoba.ca"/>
    <s v="DONE"/>
  </r>
  <r>
    <n v="7759365"/>
    <s v="RM"/>
    <s v="Pandian"/>
    <s v="Nagakannan "/>
    <x v="7"/>
    <s v="Medicine, College of"/>
    <x v="0"/>
    <m/>
    <n v="342.62"/>
    <m/>
    <d v="2014-08-01T00:00:00"/>
    <d v="2016-07-31T00:00:00"/>
    <n v="17850"/>
    <m/>
    <m/>
  </r>
  <r>
    <n v="6796272"/>
    <s v="R"/>
    <s v="Germain"/>
    <s v="Sarah"/>
    <x v="18"/>
    <s v="Arts"/>
    <x v="2"/>
    <n v="6000"/>
    <n v="688.54"/>
    <n v="201290"/>
    <d v="2013-09-01T00:00:00"/>
    <d v="2016-08-31T00:00:00"/>
    <n v="52666.67"/>
    <s v="umgerma1@cc.umanitoba.ca"/>
    <s v="DUFF ROBLIN"/>
  </r>
  <r>
    <n v="6850009"/>
    <s v="RM"/>
    <s v="Peden"/>
    <s v="Alexander "/>
    <x v="10"/>
    <s v="Medicine, College of"/>
    <x v="0"/>
    <m/>
    <n v="342.62"/>
    <m/>
    <d v="2014-08-01T00:00:00"/>
    <d v="2016-07-31T00:00:00"/>
    <n v="17850"/>
    <m/>
    <m/>
  </r>
  <r>
    <n v="7740401"/>
    <s v="R"/>
    <s v="Puthukulangara Ramachandran"/>
    <s v="Rani"/>
    <x v="52"/>
    <s v="Agricultural &amp; Food Sciences      "/>
    <x v="2"/>
    <n v="18000"/>
    <n v="690.98"/>
    <n v="201350"/>
    <d v="2015-05-01T00:00:00"/>
    <d v="2017-04-30T00:00:00"/>
    <n v="36000"/>
    <s v="puthuku3@myumanitoba.ca"/>
    <m/>
  </r>
  <r>
    <s v="7749798"/>
    <s v="R"/>
    <s v="Quaigrain"/>
    <s v="Rhoda Ansah"/>
    <x v="29"/>
    <s v="Engineering"/>
    <x v="2"/>
    <n v="18000"/>
    <n v="688.34"/>
    <n v="201390"/>
    <d v="2015-09-01T00:00:00"/>
    <d v="2017-08-31T00:00:00"/>
    <n v="36000"/>
    <s v="quaigrra@myumanitoba.ca"/>
    <s v="DONE"/>
  </r>
  <r>
    <n v="7667461"/>
    <s v="R"/>
    <s v="Quiring"/>
    <s v="Christine"/>
    <x v="17"/>
    <s v="Clayton H. Riddell Faculty of             "/>
    <x v="1"/>
    <n v="4666.67"/>
    <n v="535.38"/>
    <n v="201490"/>
    <d v="2014-09-01T00:00:00"/>
    <d v="2016-08-31T00:00:00"/>
    <n v="28000"/>
    <s v="umquiric@cc.umanitoba.ca"/>
    <m/>
  </r>
  <r>
    <n v="7693275"/>
    <s v="RM"/>
    <s v="Rabbi"/>
    <s v="Mohammad"/>
    <x v="35"/>
    <s v="Medicine, College of"/>
    <x v="0"/>
    <m/>
    <n v="342.62"/>
    <m/>
    <d v="2015-01-01T00:00:00"/>
    <d v="2016-12-31T00:00:00"/>
    <n v="17850"/>
    <m/>
    <m/>
  </r>
  <r>
    <s v="7722453"/>
    <s v="R"/>
    <s v="Rabie"/>
    <s v="Maliheh"/>
    <x v="13"/>
    <s v="Clayton H. Riddell Faculty of             "/>
    <x v="2"/>
    <n v="18000"/>
    <n v="689.66"/>
    <n v="201390"/>
    <d v="2015-09-01T00:00:00"/>
    <d v="2017-12-31T00:00:00"/>
    <n v="42000"/>
    <s v="rabiem@myumanitoba.ca"/>
    <s v="DONE"/>
  </r>
  <r>
    <n v="7726918"/>
    <s v="RM"/>
    <s v="Rahimi Balaei"/>
    <s v="Maryam"/>
    <x v="21"/>
    <s v="Medicine, College of"/>
    <x v="0"/>
    <m/>
    <n v="347.04"/>
    <m/>
    <d v="2015-09-01T00:00:00"/>
    <d v="2017-08-31T00:00:00"/>
    <n v="17850"/>
    <m/>
    <m/>
  </r>
  <r>
    <n v="7762446"/>
    <s v="R"/>
    <s v="Rahman"/>
    <s v="Md. Atiqur"/>
    <x v="12"/>
    <s v="Science"/>
    <x v="1"/>
    <n v="4666.67"/>
    <n v="535.38"/>
    <n v="201490"/>
    <d v="2014-09-01T00:00:00"/>
    <d v="2016-08-31T00:00:00"/>
    <n v="28000"/>
    <s v="atique@cs.umanitoba.ca"/>
    <m/>
  </r>
  <r>
    <n v="7729126"/>
    <s v="R"/>
    <s v="Rajakaruna Wanigasekara"/>
    <s v="Udari Madushani"/>
    <x v="27"/>
    <s v="Agricultural &amp; Food Sciences      "/>
    <x v="2"/>
    <n v="18000"/>
    <n v="690.54"/>
    <n v="201310"/>
    <d v="2014-05-01T00:00:00"/>
    <d v="2017-04-30T00:00:00"/>
    <n v="54000"/>
    <s v="rajakaru@cc.umanitoba.ca"/>
    <m/>
  </r>
  <r>
    <n v="7746144"/>
    <s v="R"/>
    <s v="Ramezani Kapourchali"/>
    <s v="Fatemeh"/>
    <x v="8"/>
    <s v="Agricultural &amp; Food Sciences      "/>
    <x v="2"/>
    <n v="18000"/>
    <n v="690.32"/>
    <n v="201450"/>
    <d v="2014-05-01T00:00:00"/>
    <d v="2018-04-30T00:00:00"/>
    <n v="72000"/>
    <s v="ramezanf@myumanitoba.ca"/>
    <m/>
  </r>
  <r>
    <s v="7690536"/>
    <s v="R"/>
    <s v="Rezazadeh"/>
    <s v="Navid"/>
    <x v="2"/>
    <s v="Engineering"/>
    <x v="2"/>
    <n v="18000"/>
    <n v="534.36"/>
    <n v="201490"/>
    <d v="2015-09-01T00:00:00"/>
    <d v="2018-08-31T00:00:00"/>
    <n v="54000"/>
    <s v="rezazadn@myumanitoba.ca"/>
    <s v="DONE"/>
  </r>
  <r>
    <s v="7764515"/>
    <s v="R"/>
    <s v="Rodrigues da Costa"/>
    <s v="Eduardo"/>
    <x v="16"/>
    <s v="Graduate Studies"/>
    <x v="2"/>
    <n v="18000"/>
    <n v="688.78"/>
    <n v="201490"/>
    <d v="2015-09-01T00:00:00"/>
    <d v="2018-08-31T00:00:00"/>
    <n v="54000"/>
    <s v="rodrig19@myumanitoba.ca"/>
    <s v="DONE"/>
  </r>
  <r>
    <n v="7728945"/>
    <s v="R"/>
    <s v="Yates"/>
    <s v="Heather"/>
    <x v="18"/>
    <s v="Arts"/>
    <x v="2"/>
    <n v="18000"/>
    <n v="688.78"/>
    <n v="201390"/>
    <d v="2014-09-01T00:00:00"/>
    <d v="2017-08-31T00:00:00"/>
    <n v="54000"/>
    <s v="Heather.Yates@umanitoba.ca"/>
    <m/>
  </r>
  <r>
    <n v="6733101"/>
    <s v="R"/>
    <s v="Rowe"/>
    <s v="Gladys"/>
    <x v="24"/>
    <s v="Social Work (Faculty)"/>
    <x v="2"/>
    <n v="18000"/>
    <n v="688.88"/>
    <n v="201390"/>
    <d v="2013-09-01T00:00:00"/>
    <d v="2017-08-31T00:00:00"/>
    <n v="70666.67"/>
    <s v="roweg@cc.umanitoba.ca"/>
    <m/>
  </r>
  <r>
    <n v="7765882"/>
    <s v="R"/>
    <s v="Runzika"/>
    <s v="Mick"/>
    <x v="45"/>
    <s v="Agricultural &amp; Food Sciences      "/>
    <x v="1"/>
    <n v="4666.67"/>
    <n v="535.38"/>
    <n v="201490"/>
    <d v="2014-09-01T00:00:00"/>
    <d v="2016-08-31T00:00:00"/>
    <n v="28000"/>
    <s v="runzikam@myumanitoba.ca"/>
    <m/>
  </r>
  <r>
    <n v="7767525"/>
    <s v="R"/>
    <s v="Searle"/>
    <s v="Meleana"/>
    <x v="25"/>
    <s v="Architecture (Faculty)"/>
    <x v="1"/>
    <n v="4666.67"/>
    <n v="535.38"/>
    <n v="201490"/>
    <d v="2014-09-01T00:00:00"/>
    <d v="2016-08-31T00:00:00"/>
    <n v="28000"/>
    <s v="searlem@myumanitoba.ca"/>
    <m/>
  </r>
  <r>
    <s v="6839758"/>
    <s v="R"/>
    <s v="Seo"/>
    <s v="Stela"/>
    <x v="12"/>
    <s v="Science"/>
    <x v="2"/>
    <n v="18000"/>
    <n v="689.66"/>
    <n v="201590"/>
    <d v="2015-09-01T00:00:00"/>
    <d v="2019-08-31T00:00:00"/>
    <n v="72000"/>
    <s v="sseo@cs.umanitoba.ca"/>
    <s v="DONE"/>
  </r>
  <r>
    <n v="7759652"/>
    <s v="R"/>
    <s v="Shaik"/>
    <s v="Feroz Ahmed"/>
    <x v="42"/>
    <s v="Dentistry, College of"/>
    <x v="2"/>
    <n v="18000"/>
    <n v="688.78"/>
    <n v="201410"/>
    <d v="2014-09-01T00:00:00"/>
    <d v="2017-08-31T00:00:00"/>
    <n v="54000"/>
    <s v="shaikfa@myumanitoba.ca"/>
    <m/>
  </r>
  <r>
    <n v="7716313"/>
    <s v="R"/>
    <s v="Shaker"/>
    <s v="Fady"/>
    <x v="3"/>
    <s v="Science"/>
    <x v="2"/>
    <n v="6000"/>
    <n v="688.34"/>
    <n v="201390"/>
    <d v="2014-09-01T00:00:00"/>
    <d v="2016-08-31T00:00:00"/>
    <n v="36000"/>
    <s v="shakerf@myumanitoba.ca"/>
    <m/>
  </r>
  <r>
    <n v="7671196"/>
    <s v="R"/>
    <s v="Sherzoi"/>
    <s v="Ogai"/>
    <x v="24"/>
    <s v="Social Work (Faculty)"/>
    <x v="1"/>
    <n v="4666.67"/>
    <n v="535.38"/>
    <n v="201490"/>
    <d v="2014-09-01T00:00:00"/>
    <d v="2016-08-31T00:00:00"/>
    <n v="28000"/>
    <s v="umsherzo@cc.umanitoba.ca"/>
    <m/>
  </r>
  <r>
    <n v="6819308"/>
    <s v="R"/>
    <s v="Shiells"/>
    <s v="Kyle"/>
    <x v="3"/>
    <s v="Science"/>
    <x v="2"/>
    <n v="18000"/>
    <n v="688.78"/>
    <n v="201350"/>
    <d v="2014-09-01T00:00:00"/>
    <d v="2017-08-31T00:00:00"/>
    <n v="54000"/>
    <s v="umshielk@myumanitoba.ca"/>
    <m/>
  </r>
  <r>
    <n v="7722279"/>
    <s v="R"/>
    <s v="Shuvo"/>
    <s v="Sabbir"/>
    <x v="30"/>
    <s v="Science"/>
    <x v="2"/>
    <n v="6000"/>
    <n v="688.34"/>
    <n v="201290"/>
    <d v="2014-09-01T00:00:00"/>
    <d v="2016-08-31T00:00:00"/>
    <n v="36000"/>
    <s v="shuvos@myumanitoba.ca"/>
    <m/>
  </r>
  <r>
    <n v="7697841"/>
    <s v="R"/>
    <s v="Siddique"/>
    <s v="Uzma"/>
    <x v="2"/>
    <s v="Engineering"/>
    <x v="2"/>
    <n v="6000"/>
    <n v="688.54"/>
    <n v="201290"/>
    <d v="2012-09-01T00:00:00"/>
    <d v="2016-08-31T00:00:00"/>
    <n v="68666.67"/>
    <s v="siddiquu@cc.umanitoba.ca"/>
    <s v="DUFF ROBLIN"/>
  </r>
  <r>
    <n v="7761824"/>
    <s v="R"/>
    <s v="Sikder"/>
    <s v="Md. Sowayib"/>
    <x v="9"/>
    <s v="Clayton H. Riddell Faculty of             "/>
    <x v="1"/>
    <n v="4666.67"/>
    <n v="535.38"/>
    <n v="201490"/>
    <d v="2014-09-01T00:00:00"/>
    <d v="2016-08-31T00:00:00"/>
    <n v="28000"/>
    <s v="sikderms@myumanitoba.ca"/>
    <m/>
  </r>
  <r>
    <n v="6790401"/>
    <s v="R"/>
    <s v="Sinclair"/>
    <s v="Adele"/>
    <x v="46"/>
    <s v="Architecture (Faculty)"/>
    <x v="1"/>
    <n v="4666.67"/>
    <n v="535.38"/>
    <n v="201490"/>
    <d v="2014-09-01T00:00:00"/>
    <d v="2016-08-31T00:00:00"/>
    <n v="28000"/>
    <s v="umvangen@myumanitoba.ca"/>
    <m/>
  </r>
  <r>
    <s v="7771162"/>
    <s v="R"/>
    <s v="Singh"/>
    <s v="Manu"/>
    <x v="30"/>
    <s v="Science"/>
    <x v="2"/>
    <n v="18000"/>
    <m/>
    <n v="201490"/>
    <d v="2015-09-01T00:00:00"/>
    <d v="2018-08-31T00:00:00"/>
    <n v="54000"/>
    <s v="singhm12@myumanitoba.ca"/>
    <s v="DONE"/>
  </r>
  <r>
    <s v="7531937"/>
    <s v="R"/>
    <s v="Struch"/>
    <s v="Joanne"/>
    <x v="4"/>
    <s v="Education Faculty"/>
    <x v="2"/>
    <n v="18000"/>
    <n v="690.98"/>
    <n v="201350"/>
    <d v="2015-05-01T00:00:00"/>
    <d v="2017-04-30T00:00:00"/>
    <n v="36000"/>
    <s v="struchj@myumanitoba.ca"/>
    <s v="DONE"/>
  </r>
  <r>
    <n v="7692739"/>
    <s v="R"/>
    <s v="Tahmasebian"/>
    <s v="Ehsan"/>
    <x v="2"/>
    <s v="Engineering"/>
    <x v="2"/>
    <n v="18000"/>
    <n v="690.32"/>
    <n v="201510"/>
    <d v="2015-05-01T00:00:00"/>
    <d v="2019-04-30T00:00:00"/>
    <n v="72000"/>
    <s v="tahmasee@myumanitoba.ca"/>
    <m/>
  </r>
  <r>
    <n v="7619252"/>
    <s v="R"/>
    <s v="Tang"/>
    <s v="Vincent"/>
    <x v="43"/>
    <s v="Architecture (Faculty)"/>
    <x v="1"/>
    <n v="4666.67"/>
    <n v="535.38"/>
    <n v="201490"/>
    <d v="2014-09-01T00:00:00"/>
    <d v="2016-08-31T00:00:00"/>
    <n v="28000"/>
    <s v="umtangv@cc.umanitoba.ca"/>
    <m/>
  </r>
  <r>
    <n v="6757643"/>
    <s v="R"/>
    <s v="Taylor"/>
    <s v="Amanda  "/>
    <x v="45"/>
    <s v="Agricultural &amp; Food Sciences      "/>
    <x v="2"/>
    <n v="12000"/>
    <n v="689.66"/>
    <n v="201310"/>
    <d v="2015-01-01T00:00:00"/>
    <d v="2016-12-31T00:00:00"/>
    <n v="36000"/>
    <s v="amanda_m_taylor@umanitoba.ca"/>
    <m/>
  </r>
  <r>
    <n v="7717264"/>
    <s v="R"/>
    <s v="Teimoorisichani"/>
    <s v="Mohammadreza"/>
    <x v="3"/>
    <s v="Science"/>
    <x v="2"/>
    <n v="18000"/>
    <n v="688.78"/>
    <n v="201490"/>
    <d v="2014-09-01T00:00:00"/>
    <d v="2017-08-31T00:00:00"/>
    <n v="54000"/>
    <s v="teimoorm@myumanitoba.ca"/>
    <m/>
  </r>
  <r>
    <n v="7776879"/>
    <s v="R"/>
    <s v="Thezard"/>
    <s v="Florent"/>
    <x v="53"/>
    <s v="Rehabilitation Sciences, College of "/>
    <x v="1"/>
    <n v="4666.67"/>
    <n v="535.38"/>
    <n v="201490"/>
    <d v="2014-09-01T00:00:00"/>
    <d v="2016-08-31T00:00:00"/>
    <n v="28000"/>
    <s v="thezardf@myumanitoba.ca"/>
    <m/>
  </r>
  <r>
    <n v="6843054"/>
    <s v="RM"/>
    <s v="Thompson"/>
    <s v="Laura "/>
    <x v="40"/>
    <s v="Medicine, College of"/>
    <x v="0"/>
    <m/>
    <n v="341.32"/>
    <m/>
    <d v="2014-09-01T00:00:00"/>
    <d v="2016-08-31T00:00:00"/>
    <n v="17850"/>
    <m/>
    <m/>
  </r>
  <r>
    <n v="6843239"/>
    <s v="R"/>
    <s v="Timmerman"/>
    <s v="Lisa"/>
    <x v="1"/>
    <s v="Nursing, College of"/>
    <x v="1"/>
    <n v="4666.67"/>
    <n v="535.38"/>
    <n v="201490"/>
    <d v="2014-09-01T00:00:00"/>
    <d v="2016-08-31T00:00:00"/>
    <n v="28000"/>
    <s v="umtimme4@myumanitoba.ca"/>
    <m/>
  </r>
  <r>
    <n v="7658575"/>
    <s v="R"/>
    <s v="Tiznobaik"/>
    <s v="Mohammad"/>
    <x v="29"/>
    <s v="Engineering"/>
    <x v="2"/>
    <n v="18000"/>
    <n v="690.54"/>
    <n v="201450"/>
    <d v="2015-05-01T00:00:00"/>
    <d v="2018-04-30T00:00:00"/>
    <n v="54000"/>
    <s v="umtiznob@myumanitoba.ca"/>
    <m/>
  </r>
  <r>
    <n v="7719039"/>
    <s v="R"/>
    <s v="Tsaturian"/>
    <s v="Sergii"/>
    <x v="19"/>
    <s v="Science"/>
    <x v="2"/>
    <n v="6000"/>
    <n v="688.34"/>
    <n v="201290"/>
    <d v="2014-09-01T00:00:00"/>
    <d v="2016-08-31T00:00:00"/>
    <n v="36000"/>
    <s v="tsaturis@cc.umanitoba.ca"/>
    <m/>
  </r>
  <r>
    <n v="7742793"/>
    <s v="R"/>
    <s v="Chan"/>
    <s v="Wing Sun"/>
    <x v="54"/>
    <s v="Arts"/>
    <x v="2"/>
    <n v="18000"/>
    <n v="689.66"/>
    <n v="201410"/>
    <d v="2014-01-01T00:00:00"/>
    <d v="2017-12-31T00:00:00"/>
    <n v="71333.33"/>
    <s v="chanw345@myumanitoba.ca"/>
    <m/>
  </r>
  <r>
    <s v="7795789"/>
    <s v="R"/>
    <s v="Vahora"/>
    <s v="Tasneem"/>
    <x v="52"/>
    <s v="Agricultural &amp; Food Sciences      "/>
    <x v="2"/>
    <n v="18000"/>
    <n v="689.66"/>
    <n v="201590"/>
    <d v="2015-09-01T00:00:00"/>
    <d v="2019-08-31T00:00:00"/>
    <n v="72000"/>
    <s v="vahorat4@myumanitoba.ca"/>
    <s v="DONE"/>
  </r>
  <r>
    <n v="7742263"/>
    <s v="R"/>
    <s v="Vences Estudillo"/>
    <s v="Alaide"/>
    <x v="16"/>
    <s v="Graduate Studies"/>
    <x v="2"/>
    <n v="18000"/>
    <n v="690.98"/>
    <n v="201390"/>
    <d v="2015-05-01T00:00:00"/>
    <d v="2017-04-30T00:00:00"/>
    <n v="36000"/>
    <s v="vencesea@myumanitoba.ca"/>
    <m/>
  </r>
  <r>
    <n v="7729605"/>
    <s v="R"/>
    <s v="Vrignon-Tessier"/>
    <s v="Denis"/>
    <x v="14"/>
    <s v="Architecture (Faculty)"/>
    <x v="1"/>
    <n v="4666.67"/>
    <n v="535.38"/>
    <n v="201490"/>
    <d v="2014-09-01T00:00:00"/>
    <d v="2016-08-31T00:00:00"/>
    <n v="28000"/>
    <s v="vrignond@cc.umanitoba.ca"/>
    <m/>
  </r>
  <r>
    <n v="7769377"/>
    <s v="R"/>
    <s v="Walkey"/>
    <s v="Sarah"/>
    <x v="36"/>
    <s v="Rehabilitation Sciences, College of "/>
    <x v="1"/>
    <n v="4666.67"/>
    <n v="535.38"/>
    <n v="201490"/>
    <d v="2014-09-01T00:00:00"/>
    <d v="2016-08-31T00:00:00"/>
    <n v="28000"/>
    <s v="walkeys@myumanitoba.ca"/>
    <m/>
  </r>
  <r>
    <n v="7645384"/>
    <s v="RM"/>
    <s v="Wang"/>
    <s v="Jie"/>
    <x v="7"/>
    <s v="Medicine, College of"/>
    <x v="0"/>
    <m/>
    <n v="344.18"/>
    <m/>
    <d v="2015-09-01T00:00:00"/>
    <d v="2017-08-31T00:00:00"/>
    <n v="18000"/>
    <m/>
    <m/>
  </r>
  <r>
    <n v="7703482"/>
    <s v="R"/>
    <s v="Waritanant"/>
    <s v="Tanant"/>
    <x v="2"/>
    <s v="Engineering"/>
    <x v="2"/>
    <n v="18000"/>
    <n v="688.08"/>
    <n v="201210"/>
    <d v="2014-01-01T00:00:00"/>
    <s v=" "/>
    <n v="35333.33"/>
    <s v="waritant@myumanitoba.ca"/>
    <m/>
  </r>
  <r>
    <s v="0957092"/>
    <s v="R"/>
    <s v="Wells-Dyck"/>
    <s v="Alison"/>
    <x v="4"/>
    <s v="Education Faculty"/>
    <x v="2"/>
    <n v="6000"/>
    <n v="688.54"/>
    <n v="201290"/>
    <d v="2013-09-01T00:00:00"/>
    <d v="2016-08-31T00:00:00"/>
    <n v="52666.67"/>
    <s v="umwellsa@myumanitoba.ca"/>
    <m/>
  </r>
  <r>
    <n v="6851705"/>
    <s v="R"/>
    <s v="Wiens"/>
    <s v="Mya"/>
    <x v="9"/>
    <s v="Clayton H. Riddell Faculty of             "/>
    <x v="2"/>
    <n v="18000"/>
    <n v="689"/>
    <n v="201490"/>
    <d v="2014-09-01T00:00:00"/>
    <d v="2018-08-31T00:00:00"/>
    <n v="72000"/>
    <s v="umwheelm@cc.umanitoba.ca"/>
    <m/>
  </r>
  <r>
    <n v="7775570"/>
    <s v="RM"/>
    <s v="Xu"/>
    <s v="Yang Xin (Cindy)"/>
    <x v="7"/>
    <s v="Medicine, College of"/>
    <x v="0"/>
    <m/>
    <n v="534.36"/>
    <m/>
    <d v="2015-09-01T00:00:00"/>
    <d v="2016-08-31T00:00:00"/>
    <n v="14000"/>
    <m/>
    <m/>
  </r>
  <r>
    <n v="7706581"/>
    <s v="R"/>
    <s v="Yadav"/>
    <s v="Anjali"/>
    <x v="42"/>
    <s v="Dentistry, College of"/>
    <x v="2"/>
    <n v="6000"/>
    <n v="688.34"/>
    <n v="201290"/>
    <d v="2014-09-01T00:00:00"/>
    <d v="2016-08-31T00:00:00"/>
    <n v="36000"/>
    <s v="yadava@myumanitoba.ca"/>
    <m/>
  </r>
  <r>
    <s v="7742262"/>
    <s v="R"/>
    <s v="Yan"/>
    <s v="Jun"/>
    <x v="26"/>
    <s v="Business, Asper School of "/>
    <x v="2"/>
    <n v="18000"/>
    <m/>
    <n v="201390"/>
    <d v="2015-09-01T00:00:00"/>
    <d v="2017-08-31T00:00:00"/>
    <n v="36000"/>
    <s v="yanj3456@myumanitoba.ca"/>
    <s v="DONE"/>
  </r>
  <r>
    <n v="7744095"/>
    <s v="R"/>
    <s v="Chowdhury"/>
    <s v="Iqbal"/>
    <x v="54"/>
    <s v="Arts"/>
    <x v="2"/>
    <n v="18000"/>
    <m/>
    <n v="201610"/>
    <d v="2016-01-01T00:00:00"/>
    <d v="2017-12-31T00:00:00"/>
    <n v="36000"/>
    <s v="chowdhia@cc.umanitoba.ca"/>
    <m/>
  </r>
  <r>
    <s v="7716322"/>
    <s v="R"/>
    <s v="Yi"/>
    <s v="Changyan"/>
    <x v="2"/>
    <s v="Engineering"/>
    <x v="2"/>
    <n v="18000"/>
    <m/>
    <n v="201490"/>
    <d v="2015-09-01T00:00:00"/>
    <d v="2018-08-31T00:00:00"/>
    <n v="54000"/>
    <s v="Changyan.Yi@umanitoba.ca"/>
    <s v="DONE"/>
  </r>
  <r>
    <n v="7786427"/>
    <s v="R"/>
    <s v="Yoshino"/>
    <s v="Kazutoshi"/>
    <x v="4"/>
    <s v="Education Faculty"/>
    <x v="2"/>
    <n v="18000"/>
    <m/>
    <n v="201390"/>
    <d v="2015-09-01T00:00:00"/>
    <d v="2018-08-31T00:00:00"/>
    <n v="54000"/>
    <s v="yoshinok@myumanitoba.ca"/>
    <m/>
  </r>
  <r>
    <n v="6777107"/>
    <s v="R"/>
    <s v="Yu"/>
    <s v="Han"/>
    <x v="32"/>
    <s v="Science"/>
    <x v="2"/>
    <n v="18000"/>
    <m/>
    <n v="201590"/>
    <d v="2015-09-01T00:00:00"/>
    <d v="2019-08-31T00:00:00"/>
    <n v="72000"/>
    <s v="yoshinok@cc.umanitoba.ca"/>
    <s v="DONE"/>
  </r>
  <r>
    <n v="7685098"/>
    <s v="MHRC"/>
    <s v="Zeglinski"/>
    <s v="Matthew "/>
    <x v="7"/>
    <s v="Medicine, College of"/>
    <x v="0"/>
    <m/>
    <m/>
    <m/>
    <m/>
    <m/>
    <m/>
    <m/>
    <m/>
  </r>
  <r>
    <n v="7767540"/>
    <s v="R"/>
    <s v="Zeng"/>
    <s v="Zhiwei"/>
    <x v="52"/>
    <s v="Agricultural &amp; Food Sciences      "/>
    <x v="1"/>
    <n v="4666.67"/>
    <n v="342.62"/>
    <n v="201490"/>
    <d v="2014-09-01T00:00:00"/>
    <d v="2016-08-31T00:00:00"/>
    <n v="28000"/>
    <s v="441928595@QQ.COM"/>
    <s v="DUFF ROBLIN"/>
  </r>
  <r>
    <n v="6847610"/>
    <s v="R"/>
    <s v="Zhang"/>
    <s v="Yu  "/>
    <x v="32"/>
    <s v="Science"/>
    <x v="2"/>
    <n v="12000"/>
    <n v="688.54"/>
    <n v="201310"/>
    <d v="2014-09-01T00:00:00"/>
    <d v="2016-12-31T00:00:00"/>
    <n v="42000"/>
    <s v="umzha345@myumanitoba.ca"/>
    <m/>
  </r>
  <r>
    <n v="7631708"/>
    <s v="MHRC"/>
    <s v="Zhu"/>
    <s v="Shenghua"/>
    <x v="55"/>
    <s v="Medicine, College of"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s v="January start"/>
    <m/>
    <m/>
    <m/>
    <x v="56"/>
    <m/>
    <x v="0"/>
    <m/>
    <m/>
    <m/>
    <m/>
    <m/>
    <m/>
    <m/>
    <m/>
  </r>
  <r>
    <s v="Research Manitoba"/>
    <m/>
    <m/>
    <m/>
    <x v="56"/>
    <m/>
    <x v="0"/>
    <m/>
    <m/>
    <m/>
    <m/>
    <m/>
    <m/>
    <n v="36000"/>
    <s v="umyu7@myumanitoba.ca"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s v="Baseline"/>
    <m/>
    <m/>
    <n v="2930000"/>
    <x v="56"/>
    <m/>
    <x v="0"/>
    <m/>
    <m/>
    <m/>
    <m/>
    <m/>
    <m/>
    <m/>
    <m/>
  </r>
  <r>
    <s v="Medicine"/>
    <m/>
    <m/>
    <n v="280000"/>
    <x v="56"/>
    <m/>
    <x v="0"/>
    <m/>
    <m/>
    <m/>
    <m/>
    <m/>
    <m/>
    <m/>
    <m/>
  </r>
  <r>
    <s v="Subtotal"/>
    <m/>
    <m/>
    <n v="3210000"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s v="Expenses"/>
    <m/>
    <m/>
    <n v="2278000.129999998"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s v="TOTAL"/>
    <m/>
    <m/>
    <n v="931999.87000000197"/>
    <x v="56"/>
    <m/>
    <x v="0"/>
    <m/>
    <m/>
    <m/>
    <m/>
    <m/>
    <m/>
    <m/>
    <m/>
  </r>
  <r>
    <m/>
    <m/>
    <m/>
    <m/>
    <x v="56"/>
    <m/>
    <x v="0"/>
    <n v="2278000.129999998"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  <r>
    <m/>
    <m/>
    <m/>
    <m/>
    <x v="56"/>
    <m/>
    <x v="0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2">
  <r>
    <n v="6798147"/>
    <s v="RM"/>
    <s v="Acosta"/>
    <s v="Crystal"/>
    <x v="0"/>
    <s v="Pharmacy, College of"/>
    <x v="0"/>
    <m/>
    <n v="347.04"/>
    <m/>
    <d v="2014-09-01T00:00:00"/>
    <d v="2018-08-31T00:00:00"/>
    <n v="36000"/>
    <m/>
    <m/>
  </r>
  <r>
    <n v="7683000"/>
    <s v="R"/>
    <s v="Adekoya"/>
    <s v="Adebusola"/>
    <x v="1"/>
    <s v="Nursing, College of"/>
    <x v="1"/>
    <n v="4666.67"/>
    <n v="535.38"/>
    <n v="201490"/>
    <d v="2014-09-01T00:00:00"/>
    <d v="2016-08-31T00:00:00"/>
    <n v="28000"/>
    <s v="umadekoa@myumanitoba.ca"/>
    <m/>
  </r>
  <r>
    <n v="7749268"/>
    <s v="R"/>
    <s v="Afshar Delkhah"/>
    <s v="Samaneh"/>
    <x v="2"/>
    <s v="Engineering"/>
    <x v="2"/>
    <n v="18000"/>
    <n v="690.98"/>
    <n v="201390"/>
    <d v="2015-05-01T00:00:00"/>
    <d v="2017-04-30T00:00:00"/>
    <n v="36000"/>
    <s v="afshards@myumanitoba.ca "/>
    <m/>
  </r>
  <r>
    <m/>
    <s v="R"/>
    <s v="Agbor"/>
    <s v="Valery"/>
    <x v="0"/>
    <s v="Pharmacy, College of"/>
    <x v="0"/>
    <m/>
    <n v="727.98"/>
    <m/>
    <m/>
    <m/>
    <m/>
    <m/>
    <m/>
  </r>
  <r>
    <n v="7763565"/>
    <s v="R"/>
    <s v="Ahmed"/>
    <s v="Jaseer"/>
    <x v="3"/>
    <s v="Science"/>
    <x v="2"/>
    <n v="18000"/>
    <n v="689"/>
    <n v="201490"/>
    <d v="2014-09-01T00:00:00"/>
    <d v="2018-08-31T00:00:00"/>
    <n v="72000"/>
    <s v="ahmedj@myumanitoba.ca"/>
    <s v=" "/>
  </r>
  <r>
    <s v="7662132"/>
    <s v="R"/>
    <s v="Akoh"/>
    <s v="Ben"/>
    <x v="4"/>
    <s v="Education Faculty"/>
    <x v="2"/>
    <n v="6000"/>
    <n v="687.04"/>
    <n v="201290"/>
    <d v="2015-09-01T00:00:00"/>
    <d v="2016-08-31T00:00:00"/>
    <n v="18000"/>
    <s v="umakoh@myumanitoba.ca "/>
    <s v="DONE"/>
  </r>
  <r>
    <n v="7685297"/>
    <s v="R"/>
    <s v="Al-Deaibes"/>
    <s v="Mutasim"/>
    <x v="5"/>
    <s v="Arts"/>
    <x v="2"/>
    <n v="6000"/>
    <n v="688.54"/>
    <n v="201290"/>
    <d v="2013-09-01T00:00:00"/>
    <d v="2016-08-31T00:00:00"/>
    <n v="20666.669999999998"/>
    <s v="aldeaibm@myumanitoba.ca"/>
    <m/>
  </r>
  <r>
    <n v="7761121"/>
    <s v="R"/>
    <s v="Aleyasin"/>
    <s v="Seyed Sobhan"/>
    <x v="6"/>
    <s v="Engineering"/>
    <x v="2"/>
    <n v="18000"/>
    <n v="690.54"/>
    <n v="201450"/>
    <d v="2015-05-01T00:00:00"/>
    <d v="2018-04-30T00:00:00"/>
    <n v="54000"/>
    <s v="aleyasss@myumanitoba.ca"/>
    <m/>
  </r>
  <r>
    <n v="7716544"/>
    <s v="RM"/>
    <s v="Alizadeh"/>
    <s v="Arsalan"/>
    <x v="7"/>
    <s v="Medicine, College of"/>
    <x v="0"/>
    <m/>
    <n v="346.38"/>
    <m/>
    <d v="2015-09-01T00:00:00"/>
    <d v="2016-08-31T00:00:00"/>
    <n v="18000"/>
    <m/>
    <m/>
  </r>
  <r>
    <s v="7788356"/>
    <s v="R"/>
    <s v="Almeida Nunes"/>
    <s v="Vanessa"/>
    <x v="8"/>
    <s v="Arts"/>
    <x v="2"/>
    <n v="6000"/>
    <n v="689.66"/>
    <n v="201590"/>
    <d v="2015-09-01T00:00:00"/>
    <d v="2016-08-31T00:00:00"/>
    <n v="18000"/>
    <s v="almeida3@myumanitoba.ca "/>
    <s v="DONE"/>
  </r>
  <r>
    <n v="7716305"/>
    <s v="R"/>
    <s v="Alphonse"/>
    <s v="Peter"/>
    <x v="9"/>
    <s v="Agricultural &amp; Food Sciences      "/>
    <x v="2"/>
    <n v="12000"/>
    <n v="287.36"/>
    <n v="201310"/>
    <d v="2013-01-01T00:00:00"/>
    <d v="2016-12-31T00:00:00"/>
    <n v="69333.33"/>
    <s v="sujithap@myumanitoba.ca"/>
    <m/>
  </r>
  <r>
    <n v="7737047"/>
    <s v="R"/>
    <s v="Andalib"/>
    <s v="Taraneh"/>
    <x v="3"/>
    <s v="Science"/>
    <x v="2"/>
    <n v="18000"/>
    <n v="688.78"/>
    <n v="201390"/>
    <d v="2014-09-01T00:00:00"/>
    <d v="2017-08-31T00:00:00"/>
    <n v="54000"/>
    <s v="andalibt@myumanitoba.ca"/>
    <s v="DUFF ROBLIN"/>
  </r>
  <r>
    <s v="7714865"/>
    <s v="R"/>
    <s v="Assuah"/>
    <s v="Anderson"/>
    <x v="10"/>
    <s v="Clayton H. Riddell Faculty of             "/>
    <x v="2"/>
    <n v="18000"/>
    <n v="689.66"/>
    <n v="201590"/>
    <d v="2015-09-01T00:00:00"/>
    <d v="2019-08-31T00:00:00"/>
    <n v="72000"/>
    <s v="assuaha@myumanitoba.ca"/>
    <s v="DONE"/>
  </r>
  <r>
    <n v="5617544"/>
    <s v="RM"/>
    <s v="Attawar"/>
    <s v="Dhiwya"/>
    <x v="11"/>
    <s v="Medicine, College of"/>
    <x v="0"/>
    <m/>
    <n v="347.04"/>
    <m/>
    <d v="2015-09-01T00:00:00"/>
    <d v="2017-08-31T00:00:00"/>
    <n v="18150"/>
    <m/>
    <m/>
  </r>
  <r>
    <n v="7736153"/>
    <s v="R"/>
    <s v="Azad"/>
    <s v="Elnaz"/>
    <x v="12"/>
    <s v="Agricultural &amp; Food Sciences      "/>
    <x v="2"/>
    <n v="18000"/>
    <n v="690.98"/>
    <n v="201350"/>
    <d v="2015-05-01T00:00:00"/>
    <d v="2017-04-30T00:00:00"/>
    <n v="36000"/>
    <s v="azade@myumanitoba.ca"/>
    <m/>
  </r>
  <r>
    <n v="7736544"/>
    <s v="R"/>
    <s v="Bahari"/>
    <s v="Ako"/>
    <x v="6"/>
    <s v="Engineering"/>
    <x v="2"/>
    <n v="18000"/>
    <n v="690.54"/>
    <n v="201410"/>
    <d v="2015-05-01T00:00:00"/>
    <d v="2018-04-30T00:00:00"/>
    <n v="54000"/>
    <s v="baharia@myumanitoba.ca"/>
    <m/>
  </r>
  <r>
    <s v="7765818"/>
    <s v="R"/>
    <s v="Bahoo Torudi"/>
    <s v="Yeganeh"/>
    <x v="13"/>
    <s v="Science"/>
    <x v="2"/>
    <n v="18000"/>
    <n v="688.78"/>
    <n v="201490"/>
    <d v="2015-09-01T00:00:00"/>
    <d v="2018-08-31T00:00:00"/>
    <n v="54000"/>
    <s v="bahoo@cs.umanitoba.ca"/>
    <s v="DONE"/>
  </r>
  <r>
    <n v="7759851"/>
    <s v="R"/>
    <s v="Bansah"/>
    <s v="Samuel"/>
    <x v="14"/>
    <s v="Clayton H. Riddell Faculty of             "/>
    <x v="2"/>
    <n v="18000"/>
    <n v="690.54"/>
    <s v="201410"/>
    <d v="2014-05-01T00:00:00"/>
    <d v="2017-04-30T00:00:00"/>
    <n v="54000"/>
    <s v="bansahs@myumanitoba.ca"/>
    <m/>
  </r>
  <r>
    <n v="7704630"/>
    <s v="R"/>
    <s v="Bayat "/>
    <s v="Nozhan"/>
    <x v="2"/>
    <s v="Engineering"/>
    <x v="2"/>
    <n v="18000"/>
    <n v="690.54"/>
    <n v="201490"/>
    <d v="2015-05-01T00:00:00"/>
    <d v="2018-04-30T00:00:00"/>
    <n v="54000"/>
    <s v="bayatn@myumanitoba.ca"/>
    <m/>
  </r>
  <r>
    <n v="6771285"/>
    <s v="R"/>
    <s v="Beange"/>
    <s v="Jaya"/>
    <x v="15"/>
    <s v="Architecture (Faculty)"/>
    <x v="1"/>
    <n v="4666.67"/>
    <n v="535.38"/>
    <n v="201490"/>
    <d v="2014-09-01T00:00:00"/>
    <d v="2016-08-31T00:00:00"/>
    <n v="28000"/>
    <s v="beangejc@cc.umanitoba.ca"/>
    <m/>
  </r>
  <r>
    <n v="7709072"/>
    <s v="R"/>
    <s v="Bergen"/>
    <s v="Robert"/>
    <x v="3"/>
    <s v="Science"/>
    <x v="2"/>
    <n v="18000"/>
    <n v="690.54"/>
    <n v="201510"/>
    <d v="2015-05-01T00:00:00"/>
    <d v="2018-04-30T00:00:00"/>
    <n v="54000"/>
    <s v="bergenr5@myumanitoba.ca"/>
    <m/>
  </r>
  <r>
    <n v="6852061"/>
    <s v="RM"/>
    <s v="Birse"/>
    <s v="Kensie"/>
    <x v="16"/>
    <s v="Medicine, College of"/>
    <x v="0"/>
    <m/>
    <n v="341.32"/>
    <m/>
    <d v="2014-09-01T00:00:00"/>
    <d v="2016-08-31T00:00:00"/>
    <n v="17850"/>
    <m/>
    <m/>
  </r>
  <r>
    <n v="7713867"/>
    <s v="R"/>
    <s v="Bitzker"/>
    <s v="Katharina"/>
    <x v="17"/>
    <s v="Graduate Studies"/>
    <x v="2"/>
    <n v="6000"/>
    <n v="688.54"/>
    <n v="201290"/>
    <d v="2012-09-01T00:00:00"/>
    <d v="2016-08-31T00:00:00"/>
    <n v="68666.679999999993"/>
    <s v="bitzkerk@myumanitoba.ca"/>
    <m/>
  </r>
  <r>
    <n v="7751011"/>
    <s v="R"/>
    <s v="Boone"/>
    <s v="Wieter"/>
    <x v="18"/>
    <s v="Clayton H. Riddell Faculty of             "/>
    <x v="2"/>
    <n v="18000"/>
    <n v="690.54"/>
    <n v="201390"/>
    <d v="2014-05-01T00:00:00"/>
    <d v="2017-04-30T00:00:00"/>
    <n v="54000"/>
    <s v="boonewww@myumanitoba.ca"/>
    <m/>
  </r>
  <r>
    <s v="7740084"/>
    <s v="R"/>
    <s v="Borges e Jesus Chieregati"/>
    <s v="Barbara"/>
    <x v="4"/>
    <s v="Education Faculty"/>
    <x v="2"/>
    <n v="18000"/>
    <n v="690.54"/>
    <n v="201390"/>
    <d v="2015-09-01T00:00:00"/>
    <d v="2017-08-31T00:00:00"/>
    <n v="36000"/>
    <s v="borgeseb@myumanitoba.ca"/>
    <s v="DONE"/>
  </r>
  <r>
    <n v="7614214"/>
    <s v="R"/>
    <s v="Braun-Janzen"/>
    <s v="Erin"/>
    <x v="19"/>
    <s v="Arts"/>
    <x v="1"/>
    <n v="4666.67"/>
    <n v="535.38"/>
    <n v="201490"/>
    <d v="2014-09-01T00:00:00"/>
    <d v="2016-08-31T00:00:00"/>
    <n v="28000"/>
    <s v="Erin.Braun-Janzen@umanitoba.ca"/>
    <s v="DUFF ROBLIN"/>
  </r>
  <r>
    <n v="7756693"/>
    <s v="R"/>
    <s v="Breen"/>
    <s v="Jane"/>
    <x v="20"/>
    <s v="Science"/>
    <x v="2"/>
    <n v="18000"/>
    <n v="690.54"/>
    <n v="201410"/>
    <d v="2014-05-01T00:00:00"/>
    <d v="2017-04-30T00:00:00"/>
    <n v="54000"/>
    <s v="breenj3@myumanitoba.ca"/>
    <m/>
  </r>
  <r>
    <n v="7740009"/>
    <s v="R"/>
    <s v="Broumand"/>
    <s v="Mohsen"/>
    <x v="6"/>
    <s v="Engineering"/>
    <x v="2"/>
    <n v="18000"/>
    <n v="690.54"/>
    <n v="201410"/>
    <d v="2015-05-01T00:00:00"/>
    <d v="2018-04-30T00:00:00"/>
    <n v="54000"/>
    <s v="broumanm@myumanitoba.ca"/>
    <m/>
  </r>
  <r>
    <n v="6722205"/>
    <s v="R"/>
    <s v="Brown"/>
    <s v="Alistair"/>
    <x v="21"/>
    <s v="Science"/>
    <x v="2"/>
    <n v="18000"/>
    <n v="689.66"/>
    <n v="201390"/>
    <d v="2015-01-01T00:00:00"/>
    <d v="2017-08-31T00:00:00"/>
    <n v="48000"/>
    <s v="browna13@myumanitoba.ca"/>
    <m/>
  </r>
  <r>
    <n v="7671598"/>
    <s v="RM"/>
    <s v="Burg  "/>
    <s v="Maxwell"/>
    <x v="22"/>
    <s v="Medicine, College of"/>
    <x v="0"/>
    <m/>
    <n v="534.36"/>
    <m/>
    <d v="2015-09-01T00:00:00"/>
    <d v="2016-08-31T00:00:00"/>
    <n v="14000"/>
    <m/>
    <m/>
  </r>
  <r>
    <s v="6812001"/>
    <s v="R"/>
    <s v="Calic"/>
    <s v="Divna"/>
    <x v="0"/>
    <s v="Pharmacy, College of"/>
    <x v="2"/>
    <n v="18000"/>
    <n v="689.66"/>
    <n v="201410"/>
    <d v="2015-09-01T00:00:00"/>
    <d v="2019-08-31T00:00:00"/>
    <n v="72000"/>
    <s v="umcalic@cc.umanitoba.ca"/>
    <s v="no paper copy"/>
  </r>
  <r>
    <n v="6839963"/>
    <s v="RM"/>
    <s v="Caligiuri"/>
    <s v="Stephanie"/>
    <x v="23"/>
    <s v="Medicine, College of"/>
    <x v="0"/>
    <m/>
    <n v="346.38"/>
    <m/>
    <d v="2015-09-01T00:00:00"/>
    <d v="2016-08-31T00:00:00"/>
    <n v="9075"/>
    <m/>
    <m/>
  </r>
  <r>
    <n v="7735262"/>
    <s v="R"/>
    <s v="Cameranesi"/>
    <s v="Margherita"/>
    <x v="24"/>
    <s v="Graduate Studies"/>
    <x v="2"/>
    <n v="18000"/>
    <n v="689"/>
    <n v="201490"/>
    <d v="2014-09-01T00:00:00"/>
    <d v="2018-08-31T00:00:00"/>
    <n v="72000"/>
    <s v="cameranm@cc.umanitoba.ca"/>
    <m/>
  </r>
  <r>
    <n v="7730089"/>
    <s v="R"/>
    <s v="Carther-Krone"/>
    <s v="Tiffany"/>
    <x v="19"/>
    <s v="Arts"/>
    <x v="2"/>
    <n v="18000"/>
    <n v="690.32"/>
    <n v="201510"/>
    <d v="2015-01-01T00:00:00"/>
    <d v="2018-12-31T00:00:00"/>
    <n v="72000"/>
    <s v="lazart@cc.umanitoba.ca"/>
    <m/>
  </r>
  <r>
    <s v="7617572"/>
    <s v="R"/>
    <s v="Cenerini"/>
    <s v="Chantale"/>
    <x v="5"/>
    <s v="Arts"/>
    <x v="2"/>
    <n v="6000"/>
    <n v="689.66"/>
    <n v="201590"/>
    <d v="2015-09-01T00:00:00"/>
    <d v="2016-08-31T00:00:00"/>
    <n v="18000"/>
    <s v="umcenerc@myumanitoba.ca "/>
    <s v="DONE"/>
  </r>
  <r>
    <s v="6604658"/>
    <s v="R"/>
    <s v="Chan"/>
    <s v="Walter Wai Tak"/>
    <x v="25"/>
    <s v="Social Work (Faculty)"/>
    <x v="2"/>
    <n v="18000"/>
    <n v="689.66"/>
    <n v="201390"/>
    <d v="2015-09-01T00:00:00"/>
    <d v="2017-08-31T00:00:00"/>
    <n v="36000"/>
    <s v="umchanww@myumanitoba.ca"/>
    <s v="DONE"/>
  </r>
  <r>
    <n v="7742793"/>
    <s v="R"/>
    <s v="Chan"/>
    <s v="Wing Sun"/>
    <x v="26"/>
    <s v="Arts"/>
    <x v="2"/>
    <n v="18000"/>
    <n v="689.66"/>
    <n v="201410"/>
    <d v="2014-01-01T00:00:00"/>
    <d v="2017-12-31T00:00:00"/>
    <n v="71333.33"/>
    <s v="chanw345@myumanitoba.ca"/>
    <m/>
  </r>
  <r>
    <n v="7760557"/>
    <s v="R"/>
    <s v="Chandran"/>
    <s v="Deepa"/>
    <x v="27"/>
    <s v="Architecture (Faculty)"/>
    <x v="1"/>
    <n v="4666.67"/>
    <n v="535.38"/>
    <n v="201490"/>
    <d v="2014-09-01T00:00:00"/>
    <d v="2016-08-31T00:00:00"/>
    <n v="28000"/>
    <s v="chandrad@myumanitoba.ca"/>
    <m/>
  </r>
  <r>
    <n v="7763002"/>
    <s v="R"/>
    <s v="Chen"/>
    <s v="Qiuyu"/>
    <x v="28"/>
    <s v="Business, Asper School of "/>
    <x v="1"/>
    <n v="4666.67"/>
    <n v="535.38"/>
    <n v="201490"/>
    <d v="2014-09-01T00:00:00"/>
    <d v="2016-08-31T00:00:00"/>
    <n v="28000"/>
    <s v="chenq34@myumanitoba.ca"/>
    <m/>
  </r>
  <r>
    <n v="7730206"/>
    <s v="R"/>
    <s v="Cherniaev"/>
    <s v="Aleksandr"/>
    <x v="6"/>
    <s v="Engineering"/>
    <x v="2"/>
    <n v="12000"/>
    <n v="688.68"/>
    <n v="201310"/>
    <d v="2013-05-01T00:00:00"/>
    <d v="2016-12-31T00:00:00"/>
    <n v="63333.63"/>
    <s v="chernia5@myumanitoba.ca"/>
    <m/>
  </r>
  <r>
    <n v="7690568"/>
    <s v="RM"/>
    <s v="Chevrier"/>
    <s v="Claudyne"/>
    <x v="11"/>
    <s v="Medicine, College of"/>
    <x v="0"/>
    <m/>
    <n v="346.38"/>
    <m/>
    <d v="2015-09-01T00:00:00"/>
    <d v="2016-08-31T00:00:00"/>
    <n v="9075"/>
    <m/>
    <m/>
  </r>
  <r>
    <n v="7744095"/>
    <s v="R"/>
    <s v="Chowdhury"/>
    <s v="Iqbal"/>
    <x v="26"/>
    <s v="Arts"/>
    <x v="2"/>
    <n v="18000"/>
    <m/>
    <n v="201610"/>
    <d v="2016-01-01T00:00:00"/>
    <d v="2017-12-31T00:00:00"/>
    <n v="36000"/>
    <s v="chowdhia@cc.umanitoba.ca"/>
    <m/>
  </r>
  <r>
    <s v="7616854"/>
    <s v="R"/>
    <s v="Clark"/>
    <s v="Jaime"/>
    <x v="9"/>
    <s v="Agricultural &amp; Food Sciences      "/>
    <x v="2"/>
    <n v="6000"/>
    <n v="687.04"/>
    <n v="201290"/>
    <d v="2015-09-01T00:00:00"/>
    <d v="2016-08-31T00:00:00"/>
    <n v="18000"/>
    <s v="umclar24@cc.umanitoba.ca "/>
    <s v="DONE"/>
  </r>
  <r>
    <s v="7774762"/>
    <s v="R"/>
    <s v="Colwell"/>
    <s v="Megan"/>
    <x v="29"/>
    <s v="Agricultural &amp; Food Sciences      "/>
    <x v="2"/>
    <n v="18000"/>
    <n v="690.54"/>
    <n v="201450"/>
    <d v="2015-05-01T00:00:00"/>
    <d v="2018-04-30T00:00:00"/>
    <n v="54000"/>
    <s v="colwellm@myumanitoba.ca"/>
    <m/>
  </r>
  <r>
    <n v="6844272"/>
    <s v="R"/>
    <s v="Curtis"/>
    <s v="Evan  Thomas"/>
    <x v="19"/>
    <s v="Arts"/>
    <x v="2"/>
    <n v="6000"/>
    <n v="688.54"/>
    <n v="201290"/>
    <d v="2012-09-01T00:00:00"/>
    <d v="2016-08-31T00:00:00"/>
    <n v="68666.67"/>
    <s v="curtise@cc.umanitoba.ca"/>
    <m/>
  </r>
  <r>
    <n v="7615482"/>
    <s v="R"/>
    <s v="Cuthbert"/>
    <s v="Eric"/>
    <x v="21"/>
    <s v="Science"/>
    <x v="2"/>
    <n v="18000"/>
    <n v="688.78"/>
    <n v="201390"/>
    <d v="2014-09-01T00:00:00"/>
    <d v="2017-08-31T00:00:00"/>
    <n v="54000"/>
    <s v="umcuthb4@myumanitoba.ca"/>
    <m/>
  </r>
  <r>
    <n v="7777002"/>
    <s v="R"/>
    <s v="Daneshvar"/>
    <s v="Nasibeh"/>
    <x v="30"/>
    <s v="Science"/>
    <x v="2"/>
    <n v="18000"/>
    <n v="690.32"/>
    <n v="201510"/>
    <d v="2015-05-01T00:00:00"/>
    <d v="2019-04-30T00:00:00"/>
    <n v="72000"/>
    <s v="daneshvn@myumanitoba.ca"/>
    <m/>
  </r>
  <r>
    <n v="7717525"/>
    <s v="R"/>
    <s v="De Guzman"/>
    <s v="Earl"/>
    <x v="31"/>
    <s v="Engineering"/>
    <x v="2"/>
    <n v="18000"/>
    <n v="690.32"/>
    <n v="201550"/>
    <d v="2015-05-01T00:00:00"/>
    <d v="2019-04-30T00:00:00"/>
    <n v="72000"/>
    <s v="deguzmem@myumanitoba.ca"/>
    <m/>
  </r>
  <r>
    <s v="7762096"/>
    <s v="R"/>
    <s v="De Silva"/>
    <s v="Pawuththuwadura Malaka"/>
    <x v="32"/>
    <s v="Science"/>
    <x v="2"/>
    <n v="18000"/>
    <n v="690.66"/>
    <n v="201450"/>
    <d v="2015-09-01T00:00:00"/>
    <d v="2018-04-30T00:00:00"/>
    <n v="48000"/>
    <s v="desilpmp@myumanitoba.ca "/>
    <s v="DONE"/>
  </r>
  <r>
    <n v="6851948"/>
    <s v="R"/>
    <s v="Denisuik"/>
    <s v="Andrew"/>
    <x v="16"/>
    <s v="Medicine, College of"/>
    <x v="2"/>
    <n v="18000"/>
    <n v="688.88"/>
    <n v="201390"/>
    <d v="2013-09-01T00:00:00"/>
    <d v="2017-08-31T00:00:00"/>
    <n v="70666.67"/>
    <s v="umdenis4@myumanitoba.ca"/>
    <s v="DUFF ROBLIN"/>
  </r>
  <r>
    <n v="7658423"/>
    <s v="R"/>
    <s v="Diaz"/>
    <s v="Aura"/>
    <x v="18"/>
    <s v="Clayton H. Riddell Faculty of             "/>
    <x v="1"/>
    <n v="4666.67"/>
    <n v="535.38"/>
    <n v="201490"/>
    <d v="2014-09-01T00:00:00"/>
    <d v="2016-08-31T00:00:00"/>
    <n v="28000"/>
    <s v="Aura.Diaz@umanitoba.ca"/>
    <m/>
  </r>
  <r>
    <n v="7616206"/>
    <s v="R"/>
    <s v="Dokurno"/>
    <s v="Karalyn"/>
    <x v="8"/>
    <s v="Arts"/>
    <x v="2"/>
    <n v="6000"/>
    <n v="688.54"/>
    <n v="201290"/>
    <d v="2012-09-01T00:00:00"/>
    <d v="2016-08-31T00:00:00"/>
    <n v="68666.67"/>
    <s v="umdokurn@myumanitoba.ca"/>
    <s v="DUFF ROBLIN"/>
  </r>
  <r>
    <n v="7711370"/>
    <s v="R"/>
    <s v="Dorneshan"/>
    <s v="Raana"/>
    <x v="15"/>
    <s v="Architecture (Faculty)"/>
    <x v="1"/>
    <n v="4666.67"/>
    <n v="535.38"/>
    <n v="201490"/>
    <d v="2014-09-01T00:00:00"/>
    <d v="2016-08-31T00:00:00"/>
    <n v="28000"/>
    <s v="dorneshr@myumanitoba.ca"/>
    <m/>
  </r>
  <r>
    <n v="7639262"/>
    <s v="R"/>
    <s v="Doshi"/>
    <s v="Ankit"/>
    <x v="33"/>
    <s v="Science"/>
    <x v="2"/>
    <n v="6000"/>
    <n v="688.54"/>
    <n v="201290"/>
    <d v="2013-09-01T00:00:00"/>
    <d v="2016-08-31T00:00:00"/>
    <n v="52666.67"/>
    <s v="umdoshi@myumanitoba.ca"/>
    <m/>
  </r>
  <r>
    <n v="6771387"/>
    <s v="RM"/>
    <s v="du Plessis"/>
    <s v="Elsabe "/>
    <x v="11"/>
    <s v="Medicine, College of"/>
    <x v="0"/>
    <m/>
    <n v="342.62"/>
    <m/>
    <d v="2014-08-01T00:00:00"/>
    <d v="2016-07-31T00:00:00"/>
    <n v="17850"/>
    <m/>
    <m/>
  </r>
  <r>
    <n v="7770012"/>
    <s v="R"/>
    <s v="Dutta"/>
    <s v="Ramesh"/>
    <x v="34"/>
    <s v="Kinesiology &amp; Recreation Management "/>
    <x v="1"/>
    <n v="4666.67"/>
    <n v="535.38"/>
    <n v="201490"/>
    <d v="2014-09-01T00:00:00"/>
    <d v="2016-08-31T00:00:00"/>
    <n v="28000"/>
    <s v="duttar@myumanitoba.ca"/>
    <s v="DUFF ROBLIN"/>
  </r>
  <r>
    <n v="7616903"/>
    <s v="RM"/>
    <s v="Dyck"/>
    <s v="Scott"/>
    <x v="7"/>
    <s v="Medicine, College of"/>
    <x v="0"/>
    <m/>
    <n v="346.38"/>
    <m/>
    <d v="2015-09-01T00:00:00"/>
    <d v="2016-08-31T00:00:00"/>
    <n v="9075"/>
    <m/>
    <m/>
  </r>
  <r>
    <n v="7638771"/>
    <s v="R"/>
    <s v="Dykstra Dykerman"/>
    <s v="Katelyn"/>
    <x v="8"/>
    <s v="Arts"/>
    <x v="2"/>
    <n v="6000"/>
    <n v="688.88"/>
    <n v="201290"/>
    <d v="2013-09-01T00:00:00"/>
    <d v="2017-08-31T00:00:00"/>
    <n v="52666.67"/>
    <s v="umdykstk@myumanitoba.ca"/>
    <s v="DUFF ROBLIN"/>
  </r>
  <r>
    <n v="7765829"/>
    <s v="R"/>
    <s v="Ebeid"/>
    <s v="Mohamed Aly Mohamed Aly"/>
    <x v="35"/>
    <s v="Arts"/>
    <x v="2"/>
    <n v="18000"/>
    <n v="689"/>
    <n v="201490"/>
    <d v="2014-09-01T00:00:00"/>
    <d v="2018-08-31T00:00:00"/>
    <n v="72000"/>
    <s v="EBEID710@YAHOO.COM"/>
    <m/>
  </r>
  <r>
    <n v="7768293"/>
    <s v="R"/>
    <s v="Ebrahim Nataj"/>
    <s v="Roghayeh"/>
    <x v="20"/>
    <s v="Science"/>
    <x v="2"/>
    <n v="18000"/>
    <n v="690.54"/>
    <n v="201490"/>
    <d v="2015-05-01T00:00:00"/>
    <d v="2018-04-30T00:00:00"/>
    <n v="54000"/>
    <s v="ebrahimr@myumanitoba.ca"/>
    <m/>
  </r>
  <r>
    <n v="7778150"/>
    <s v="RM"/>
    <s v="Eissa"/>
    <s v="Nour Mohamed Elsayed"/>
    <x v="36"/>
    <s v="Medicine, College of"/>
    <x v="0"/>
    <m/>
    <n v="340.66"/>
    <m/>
    <d v="2015-09-01T00:00:00"/>
    <d v="2016-08-31T00:00:00"/>
    <n v="8925"/>
    <m/>
    <m/>
  </r>
  <r>
    <n v="7707352"/>
    <s v="R"/>
    <s v="El-Alawi"/>
    <s v="Aya"/>
    <x v="37"/>
    <s v="Rehabilitation Sciences, College of "/>
    <x v="1"/>
    <n v="9333.33"/>
    <n v="535.38"/>
    <n v="201490"/>
    <d v="2016-01-01T00:00:00"/>
    <d v="2017-04-30T00:00:00"/>
    <n v="28000"/>
    <s v="elalawia@myumanitoba.ca"/>
    <m/>
  </r>
  <r>
    <s v="7662023"/>
    <s v="R"/>
    <s v="Erickson"/>
    <s v="Julie"/>
    <x v="19"/>
    <s v="Arts"/>
    <x v="2"/>
    <n v="6000"/>
    <n v="687.04"/>
    <n v="201290"/>
    <d v="2015-09-01T00:00:00"/>
    <d v="2016-08-31T00:00:00"/>
    <n v="18000"/>
    <s v="umeric27@myumanitoba.ca"/>
    <s v="DONE"/>
  </r>
  <r>
    <s v="7694351"/>
    <s v="R"/>
    <s v="Ettungalpadi Velayudhan"/>
    <s v="Deepak"/>
    <x v="12"/>
    <s v="Agricultural &amp; Food Sciences      "/>
    <x v="2"/>
    <n v="18000"/>
    <n v="690.54"/>
    <n v="201450"/>
    <d v="2015-05-01T00:00:00"/>
    <d v="2018-04-30T00:00:00"/>
    <n v="54000"/>
    <s v="ETTUNGAD@MYUMANITOBA.CA"/>
    <m/>
  </r>
  <r>
    <s v="7766815"/>
    <s v="R"/>
    <s v="Fazelkhah"/>
    <s v="Azita"/>
    <x v="2"/>
    <s v="Engineering"/>
    <x v="2"/>
    <n v="18000"/>
    <n v="688.78"/>
    <n v="201490"/>
    <d v="2015-09-01T00:00:00"/>
    <d v="2018-08-31T00:00:00"/>
    <n v="54000"/>
    <s v="fazelkha@myumanitoba.ca"/>
    <s v="DONE"/>
  </r>
  <r>
    <s v="6781422"/>
    <s v="R"/>
    <s v="Freeze"/>
    <s v="Trevi"/>
    <x v="4"/>
    <s v="Education Faculty"/>
    <x v="2"/>
    <n v="18000"/>
    <n v="689.66"/>
    <n v="201590"/>
    <d v="2015-09-01T00:00:00"/>
    <d v="2019-08-31T00:00:00"/>
    <n v="72000"/>
    <s v="trevi.freeze@umanitoba.ca"/>
    <s v="no file found"/>
  </r>
  <r>
    <n v="7660689"/>
    <s v="R"/>
    <s v="Friesen"/>
    <s v="Curtis"/>
    <x v="38"/>
    <s v="Rehabilitation Sciences, College of "/>
    <x v="1"/>
    <n v="4666.67"/>
    <n v="535.38"/>
    <n v="201490"/>
    <d v="2014-09-01T00:00:00"/>
    <d v="2016-08-31T00:00:00"/>
    <n v="28000"/>
    <s v="umfri529@myumanitoba.ca"/>
    <m/>
  </r>
  <r>
    <s v="7626429"/>
    <s v="R"/>
    <s v="Froese"/>
    <s v="Alan"/>
    <x v="32"/>
    <s v="Science"/>
    <x v="2"/>
    <n v="18000"/>
    <n v="688.34"/>
    <n v="201390"/>
    <d v="2015-09-01T00:00:00"/>
    <d v="2017-08-31T00:00:00"/>
    <n v="36000"/>
    <s v="umfroes6@myumanitoba.ca "/>
    <s v="DONE"/>
  </r>
  <r>
    <s v="7740050"/>
    <s v="R"/>
    <s v="Fu"/>
    <s v="Chengbo"/>
    <x v="28"/>
    <s v="Business, Asper School of "/>
    <x v="2"/>
    <n v="18000"/>
    <n v="688.34"/>
    <n v="201390"/>
    <d v="2015-09-01T00:00:00"/>
    <d v="2017-08-31T00:00:00"/>
    <n v="36000"/>
    <s v="fuc@myumanitoba.ca "/>
    <s v="DONE"/>
  </r>
  <r>
    <n v="6852937"/>
    <s v="R"/>
    <s v="Geddes"/>
    <s v="Charles"/>
    <x v="39"/>
    <s v="Agricultural &amp; Food Sciences      "/>
    <x v="2"/>
    <n v="18000"/>
    <n v="690.98"/>
    <n v="201310"/>
    <d v="2015-05-01T00:00:00"/>
    <d v="2017-04-30T00:00:00"/>
    <n v="36000"/>
    <s v="umgeddec@myumanitoba.ca"/>
    <m/>
  </r>
  <r>
    <n v="6796272"/>
    <s v="R"/>
    <s v="Germain"/>
    <s v="Sarah"/>
    <x v="19"/>
    <s v="Arts"/>
    <x v="2"/>
    <n v="6000"/>
    <n v="688.54"/>
    <n v="201290"/>
    <d v="2013-09-01T00:00:00"/>
    <d v="2016-08-31T00:00:00"/>
    <n v="52666.67"/>
    <s v="umgerma1@cc.umanitoba.ca"/>
    <s v="DUFF ROBLIN"/>
  </r>
  <r>
    <n v="7750937"/>
    <s v="R"/>
    <s v="Ghazy"/>
    <s v="Ahmed"/>
    <x v="31"/>
    <s v="Engineering"/>
    <x v="2"/>
    <n v="18000"/>
    <n v="690.54"/>
    <n v="201410"/>
    <d v="2015-01-01T00:00:00"/>
    <d v="2017-12-31T00:00:00"/>
    <n v="54000"/>
    <s v="ghazya@umanitoba.ca"/>
    <m/>
  </r>
  <r>
    <n v="7612743"/>
    <s v="RM"/>
    <s v="Golden"/>
    <s v="Alyssa"/>
    <x v="16"/>
    <s v="Medicine, College of"/>
    <x v="0"/>
    <m/>
    <n v="346.38"/>
    <m/>
    <d v="2015-09-01T00:00:00"/>
    <d v="2016-08-31T00:00:00"/>
    <n v="9075"/>
    <m/>
    <m/>
  </r>
  <r>
    <n v="7776484"/>
    <s v="RM"/>
    <s v="Graydon"/>
    <s v="Colin"/>
    <x v="16"/>
    <s v="Medicine, College of"/>
    <x v="0"/>
    <m/>
    <n v="340.66"/>
    <m/>
    <d v="2015-09-01T00:00:00"/>
    <d v="2016-08-31T00:00:00"/>
    <n v="8925"/>
    <m/>
    <m/>
  </r>
  <r>
    <n v="6852280"/>
    <s v="R"/>
    <s v="Guest"/>
    <s v="Benson"/>
    <x v="3"/>
    <s v="Science"/>
    <x v="2"/>
    <n v="18000"/>
    <n v="688.78"/>
    <n v="201390"/>
    <d v="2014-09-01T00:00:00"/>
    <d v="2017-08-31T00:00:00"/>
    <n v="54000"/>
    <s v="umguest@myumanitoba.ca"/>
    <m/>
  </r>
  <r>
    <n v="7790130"/>
    <s v="R"/>
    <s v="Hajipour"/>
    <s v="Farahnaz"/>
    <x v="40"/>
    <s v="Graduate Studies"/>
    <x v="2"/>
    <n v="18000"/>
    <n v="689.66"/>
    <n v="201590"/>
    <d v="2015-09-01T00:00:00"/>
    <d v="2019-08-31T00:00:00"/>
    <n v="72000"/>
    <s v="hajipouf@myumanitoba.ca"/>
    <m/>
  </r>
  <r>
    <s v="7790898"/>
    <s v="R"/>
    <s v="Hamad"/>
    <s v="Amani"/>
    <x v="0"/>
    <s v="Pharmacy, College of"/>
    <x v="2"/>
    <n v="18000"/>
    <n v="689.66"/>
    <n v="201590"/>
    <d v="2015-09-01T00:00:00"/>
    <d v="2019-08-31T00:00:00"/>
    <n v="72000"/>
    <s v="hamada@myumanitoba.ca "/>
    <s v="DONE"/>
  </r>
  <r>
    <n v="7669743"/>
    <s v="R"/>
    <s v="Hamm"/>
    <s v="Naomi"/>
    <x v="34"/>
    <s v="Kinesiology &amp; Recreation Management "/>
    <x v="1"/>
    <n v="4666.67"/>
    <n v="535.38"/>
    <n v="201490"/>
    <d v="2014-09-01T00:00:00"/>
    <d v="2016-08-31T00:00:00"/>
    <n v="28000"/>
    <s v="lettn@myumanitoba.ca"/>
    <m/>
  </r>
  <r>
    <n v="7759853"/>
    <s v="R"/>
    <s v="Haque"/>
    <s v="Md Aminul"/>
    <x v="14"/>
    <s v="Clayton H. Riddell Faculty of             "/>
    <x v="2"/>
    <n v="18000"/>
    <n v="690.54"/>
    <n v="201450"/>
    <d v="2015-05-01T00:00:00"/>
    <d v="2018-04-30T00:00:00"/>
    <n v="54000"/>
    <s v="haquema@myumanitoba.ca"/>
    <m/>
  </r>
  <r>
    <n v="7790774"/>
    <s v="RM"/>
    <s v="Hasan"/>
    <s v="SM Naimul"/>
    <x v="41"/>
    <s v="Medicine, College of"/>
    <x v="0"/>
    <m/>
    <n v="341.32"/>
    <m/>
    <d v="2015-09-01T00:00:00"/>
    <d v="2017-08-31T00:00:00"/>
    <n v="17850"/>
    <m/>
    <m/>
  </r>
  <r>
    <n v="7725111"/>
    <s v="R"/>
    <s v="Hettiarachchi"/>
    <s v="Randima"/>
    <x v="2"/>
    <s v="Engineering"/>
    <x v="2"/>
    <n v="18000"/>
    <n v="690.54"/>
    <n v="201310"/>
    <d v="2014-05-01T00:00:00"/>
    <d v="2017-04-30T00:00:00"/>
    <n v="54000"/>
    <s v="hettiarr@myumanitoba.ca"/>
    <m/>
  </r>
  <r>
    <n v="7717781"/>
    <s v="R"/>
    <s v="Howell"/>
    <s v="Meghan"/>
    <x v="1"/>
    <s v="Nursing, College of"/>
    <x v="1"/>
    <n v="4666.67"/>
    <n v="535.38"/>
    <n v="201490"/>
    <d v="2014-09-01T00:00:00"/>
    <d v="2016-08-31T00:00:00"/>
    <n v="28000"/>
    <s v="howellm@myumanitoba.ca"/>
    <m/>
  </r>
  <r>
    <n v="6811954"/>
    <s v="R"/>
    <s v="Howell"/>
    <s v="Steven"/>
    <x v="2"/>
    <s v="Engineering"/>
    <x v="2"/>
    <n v="18000"/>
    <n v="688.88"/>
    <n v="201390"/>
    <d v="2014-01-01T00:00:00"/>
    <d v="2017-08-31T00:00:00"/>
    <n v="66000"/>
    <s v="umhowel8@myumanitoba.ca"/>
    <m/>
  </r>
  <r>
    <s v="7767837"/>
    <s v="R"/>
    <s v="Hughes"/>
    <s v="Mary-Imelda Micheline"/>
    <x v="42"/>
    <s v="Arts"/>
    <x v="2"/>
    <n v="18000"/>
    <n v="688.78"/>
    <n v="201490"/>
    <d v="2015-09-01T00:00:00"/>
    <d v="2018-08-31T00:00:00"/>
    <n v="54000"/>
    <s v="hughesm8@myumanitoba.ca"/>
    <s v="DONE"/>
  </r>
  <r>
    <n v="7613944"/>
    <s v="R"/>
    <s v="Hyde"/>
    <s v="Paul "/>
    <x v="3"/>
    <s v="Science"/>
    <x v="2"/>
    <n v="18000"/>
    <n v="690.54"/>
    <n v="201510"/>
    <d v="2015-05-01T00:00:00"/>
    <d v="2018-04-30T00:00:00"/>
    <n v="54000"/>
    <s v="umhydep@cc.umanitoba.ca"/>
    <m/>
  </r>
  <r>
    <n v="7765258"/>
    <s v="R"/>
    <s v="Ikram"/>
    <s v="Madiha"/>
    <x v="28"/>
    <s v="Business, Asper School of "/>
    <x v="1"/>
    <n v="4666.67"/>
    <n v="535.38"/>
    <n v="201490"/>
    <d v="2014-09-01T00:00:00"/>
    <d v="2016-08-31T00:00:00"/>
    <n v="28000"/>
    <s v="ikramm@myumanitoba.ca"/>
    <s v="DUFF ROBLIN"/>
  </r>
  <r>
    <n v="7680743"/>
    <s v="R"/>
    <s v="Illangakoon Mudiyanselage"/>
    <s v="Chathura"/>
    <x v="2"/>
    <s v="Engineering"/>
    <x v="2"/>
    <n v="6000"/>
    <n v="688.34"/>
    <n v="201310"/>
    <d v="2014-09-01T00:00:00"/>
    <d v="2016-08-31T00:00:00"/>
    <n v="36000"/>
    <s v="umillang@myumanitoba.ca"/>
    <m/>
  </r>
  <r>
    <n v="7743639"/>
    <s v="RM"/>
    <s v="Iqbal"/>
    <s v="Mohamed Ariff"/>
    <x v="7"/>
    <s v="Medicine, College of"/>
    <x v="0"/>
    <m/>
    <n v="342.62"/>
    <m/>
    <d v="2014-08-01T00:00:00"/>
    <d v="2016-07-31T00:00:00"/>
    <n v="17850"/>
    <m/>
    <m/>
  </r>
  <r>
    <n v="7754046"/>
    <s v="R"/>
    <s v="Jaggupilli"/>
    <s v="Apalaraju"/>
    <x v="43"/>
    <s v="Dentistry, College of"/>
    <x v="2"/>
    <n v="18000"/>
    <n v="688.78"/>
    <n v="201390"/>
    <d v="2014-09-01T00:00:00"/>
    <d v="2017-08-31T00:00:00"/>
    <n v="54000"/>
    <s v="jaggupia@myumanitoba.ca"/>
    <m/>
  </r>
  <r>
    <s v="7708371"/>
    <s v="R"/>
    <s v="Janani"/>
    <s v="Hamed"/>
    <x v="2"/>
    <s v="Engineering"/>
    <x v="2"/>
    <n v="6000"/>
    <n v="687.04"/>
    <n v="201290"/>
    <d v="2015-09-01T00:00:00"/>
    <d v="2016-08-31T00:00:00"/>
    <n v="18000"/>
    <s v="jananih@myumanitoba.ca "/>
    <s v="DONE"/>
  </r>
  <r>
    <n v="7624215"/>
    <s v="R"/>
    <s v="Janis"/>
    <s v="Leighton"/>
    <x v="44"/>
    <s v="Architecture (Faculty)"/>
    <x v="1"/>
    <n v="4666.67"/>
    <n v="535.38"/>
    <n v="201490"/>
    <d v="2014-09-01T00:00:00"/>
    <d v="2016-08-31T00:00:00"/>
    <n v="28000"/>
    <s v="umjanisl@cc.umanitoba.ca"/>
    <m/>
  </r>
  <r>
    <n v="7671599"/>
    <s v="R"/>
    <s v="Jankov"/>
    <s v="Mateja"/>
    <x v="45"/>
    <s v="Arts"/>
    <x v="1"/>
    <n v="4666.67"/>
    <n v="535.38"/>
    <n v="201490"/>
    <d v="2014-09-01T00:00:00"/>
    <d v="2016-08-31T00:00:00"/>
    <n v="28000"/>
    <s v="umjankov@myumanitoba.ca"/>
    <m/>
  </r>
  <r>
    <n v="7704435"/>
    <s v="R"/>
    <s v="Jeke"/>
    <s v="Nicholson"/>
    <x v="46"/>
    <s v="Agricultural &amp; Food Sciences      "/>
    <x v="2"/>
    <n v="18000"/>
    <n v="690.32"/>
    <n v="201510"/>
    <d v="2015-05-01T00:00:00"/>
    <d v="2019-04-30T00:00:00"/>
    <n v="72000"/>
    <s v="jeken@myumanitoba.ca"/>
    <m/>
  </r>
  <r>
    <n v="7659393"/>
    <s v="R"/>
    <s v="Jones"/>
    <s v="Alina"/>
    <x v="37"/>
    <s v="Rehabilitation Sciences, College of "/>
    <x v="1"/>
    <n v="4666.67"/>
    <n v="535.38"/>
    <n v="201490"/>
    <d v="2014-09-01T00:00:00"/>
    <d v="2016-08-31T00:00:00"/>
    <n v="28000"/>
    <s v="jonesa35@myumanitoba.ca"/>
    <m/>
  </r>
  <r>
    <n v="7729278"/>
    <s v="R"/>
    <s v="Jones"/>
    <s v="David"/>
    <x v="15"/>
    <s v="Architecture (Faculty)"/>
    <x v="1"/>
    <n v="4666.67"/>
    <n v="535.38"/>
    <n v="201490"/>
    <d v="2014-09-01T00:00:00"/>
    <d v="2016-08-31T00:00:00"/>
    <n v="28000"/>
    <s v="jonesd38@myumanitoba.ca"/>
    <s v=" "/>
  </r>
  <r>
    <n v="7612961"/>
    <s v="R"/>
    <s v="Jones"/>
    <s v="Emily"/>
    <x v="47"/>
    <s v="Architecture (Faculty)"/>
    <x v="1"/>
    <n v="4666.67"/>
    <n v="535.38"/>
    <n v="201490"/>
    <d v="2014-09-01T00:00:00"/>
    <d v="2016-08-31T00:00:00"/>
    <n v="28000"/>
    <s v="umjone26@cc.umanitoba.ca"/>
    <m/>
  </r>
  <r>
    <s v="7791176"/>
    <s v="R"/>
    <s v="Jordaan"/>
    <s v="Jacqueline"/>
    <x v="48"/>
    <s v="Arts"/>
    <x v="2"/>
    <n v="18000"/>
    <n v="689.66"/>
    <n v="201590"/>
    <d v="2015-09-01T00:00:00"/>
    <d v="2019-08-31T00:00:00"/>
    <n v="72000"/>
    <s v="jordaanj@cc.umanitoba.ca "/>
    <s v="DONE"/>
  </r>
  <r>
    <n v="7765024"/>
    <s v="R"/>
    <s v="Kaur"/>
    <s v="Rajbir"/>
    <x v="49"/>
    <s v="Agricultural &amp; Food Sciences      "/>
    <x v="1"/>
    <n v="4666.67"/>
    <n v="535.38"/>
    <n v="201490"/>
    <d v="2014-09-01T00:00:00"/>
    <d v="2016-08-31T00:00:00"/>
    <n v="28000"/>
    <s v="kaurr346@myumanitoba.ca"/>
    <s v="DUFF ROBLIN"/>
  </r>
  <r>
    <n v="7746107"/>
    <s v="R"/>
    <s v="Kaur"/>
    <s v="Satwant"/>
    <x v="18"/>
    <s v="Clayton H. Riddell Faculty of             "/>
    <x v="2"/>
    <n v="18000"/>
    <n v="688.88"/>
    <n v="201390"/>
    <d v="2013-09-01T00:00:00"/>
    <d v="2017-08-31T00:00:00"/>
    <n v="64000"/>
    <s v="kaurs34@myumanitoba.ca"/>
    <m/>
  </r>
  <r>
    <n v="7705105"/>
    <s v="R"/>
    <s v="Kerherve"/>
    <s v="Sebastien Olivier"/>
    <x v="3"/>
    <s v="Science"/>
    <x v="2"/>
    <n v="12000"/>
    <n v="688.68"/>
    <n v="201210"/>
    <d v="2013-09-01T00:00:00"/>
    <d v="2016-12-31T00:00:00"/>
    <n v="58666.93"/>
    <s v="kerhervs@cc.umanitoba.ca"/>
    <m/>
  </r>
  <r>
    <n v="7634756"/>
    <s v="R"/>
    <s v="Kernaghan"/>
    <s v="Alana"/>
    <x v="45"/>
    <s v="Arts"/>
    <x v="1"/>
    <n v="4666.67"/>
    <n v="535.38"/>
    <n v="201490"/>
    <d v="2014-09-01T00:00:00"/>
    <d v="2016-08-31T00:00:00"/>
    <n v="28000"/>
    <s v="Alana.Kernaghan@umanitoba.ca"/>
    <m/>
  </r>
  <r>
    <n v="7697678"/>
    <s v="R"/>
    <s v="Khalili Ghomi"/>
    <s v="Shervin"/>
    <x v="31"/>
    <s v="Engineering"/>
    <x v="2"/>
    <n v="18000"/>
    <n v="690.54"/>
    <n v="201450"/>
    <d v="2015-05-01T00:00:00"/>
    <d v="2018-04-30T00:00:00"/>
    <n v="54000"/>
    <s v="khalilis@myumanitoba.ca"/>
    <m/>
  </r>
  <r>
    <s v="7792706"/>
    <s v="R"/>
    <s v="Khan"/>
    <s v="Fahad Sarwar"/>
    <x v="46"/>
    <s v="Agricultural &amp; Food Sciences      "/>
    <x v="2"/>
    <n v="18000"/>
    <n v="689.66"/>
    <n v="201590"/>
    <d v="2015-09-01T00:00:00"/>
    <d v="2019-08-31T00:00:00"/>
    <n v="72000"/>
    <s v="khanfs@cc.umanitoba.ca "/>
    <s v="DONE"/>
  </r>
  <r>
    <s v="7712551"/>
    <s v="R"/>
    <s v="Khosrozadeh"/>
    <s v="Ali"/>
    <x v="6"/>
    <s v="Engineering"/>
    <x v="2"/>
    <n v="6000"/>
    <n v="687.04"/>
    <n v="201290"/>
    <d v="2015-09-01T00:00:00"/>
    <d v="2016-08-31T00:00:00"/>
    <n v="18000"/>
    <s v="Ali.Khosrozadeh@umanitoba.ca "/>
    <s v="DONE"/>
  </r>
  <r>
    <s v="7782559"/>
    <s v="R"/>
    <s v="Kim"/>
    <s v="Jongwoong"/>
    <x v="12"/>
    <s v="Agricultural &amp; Food Sciences      "/>
    <x v="2"/>
    <n v="18000"/>
    <n v="689.66"/>
    <n v="201590"/>
    <d v="2015-09-01T00:00:00"/>
    <d v="2019-08-31T00:00:00"/>
    <n v="72000"/>
    <s v="kimjw@cc.umanitoba.ca "/>
    <s v="DONE"/>
  </r>
  <r>
    <n v="7765826"/>
    <s v="R"/>
    <s v="Klassen"/>
    <s v="Shelisa"/>
    <x v="50"/>
    <s v="Arts"/>
    <x v="1"/>
    <n v="4666.67"/>
    <n v="535.38"/>
    <n v="201490"/>
    <d v="2014-09-01T00:00:00"/>
    <d v="2016-08-31T00:00:00"/>
    <n v="28000"/>
    <s v="klass134@myumanitoba.ca"/>
    <m/>
  </r>
  <r>
    <s v="7761310"/>
    <s v="R"/>
    <s v="Koul"/>
    <s v="Amit"/>
    <x v="21"/>
    <s v="Science"/>
    <x v="2"/>
    <n v="18000"/>
    <n v="688.78"/>
    <n v="201450"/>
    <d v="2015-09-01T00:00:00"/>
    <d v="2018-08-31T00:00:00"/>
    <n v="54000"/>
    <s v="KOULA@MYUMANITOBA.CA "/>
    <s v="DONE"/>
  </r>
  <r>
    <n v="6505666"/>
    <s v="R"/>
    <s v="Krahn"/>
    <s v="Sandra"/>
    <x v="17"/>
    <s v="Graduate Studies"/>
    <x v="2"/>
    <n v="6000"/>
    <n v="688.34"/>
    <n v="201290"/>
    <d v="2014-09-01T00:00:00"/>
    <d v="2016-08-31T00:00:00"/>
    <n v="36000"/>
    <s v="umkrah35@myumanitoba.ca"/>
    <m/>
  </r>
  <r>
    <n v="7771154"/>
    <s v="R"/>
    <s v="Kulkarni"/>
    <s v="Kartik"/>
    <x v="24"/>
    <s v="Graduate Studies"/>
    <x v="2"/>
    <n v="18000"/>
    <n v="689"/>
    <n v="201490"/>
    <d v="2014-09-01T00:00:00"/>
    <d v="2018-08-31T00:00:00"/>
    <n v="72000"/>
    <s v="kulkarnk@myumanitoba.ca"/>
    <m/>
  </r>
  <r>
    <n v="7763212"/>
    <s v="R"/>
    <s v="Kuznetcov"/>
    <s v="Anton"/>
    <x v="6"/>
    <s v="Engineering"/>
    <x v="2"/>
    <n v="18000"/>
    <n v="690.32"/>
    <n v="201490"/>
    <d v="2014-05-01T00:00:00"/>
    <d v="2018-04-30T00:00:00"/>
    <n v="72000"/>
    <s v="kuznetca@myumanitoba.ca"/>
    <m/>
  </r>
  <r>
    <n v="7759971"/>
    <s v="R"/>
    <s v="Kuznetsova"/>
    <s v="Alexandra"/>
    <x v="17"/>
    <s v="Graduate Studies"/>
    <x v="2"/>
    <n v="18000"/>
    <n v="690.32"/>
    <n v="201510"/>
    <d v="2015-05-01T00:00:00"/>
    <d v="2019-04-30T00:00:00"/>
    <n v="72000"/>
    <s v="kuznetsa@myumanitoba.ca"/>
    <m/>
  </r>
  <r>
    <n v="7689233"/>
    <s v="R"/>
    <s v="Landry"/>
    <s v="David"/>
    <x v="48"/>
    <s v="Arts"/>
    <x v="2"/>
    <n v="6000"/>
    <n v="688.88"/>
    <n v="201390"/>
    <d v="2013-09-01T00:00:00"/>
    <d v="2016-08-31T00:00:00"/>
    <n v="49666.67"/>
    <s v="landryd3@myumanitoba.ca"/>
    <m/>
  </r>
  <r>
    <n v="7718143"/>
    <s v="R"/>
    <s v="Lebel"/>
    <s v="Zoe"/>
    <x v="15"/>
    <s v="Architecture (Faculty)"/>
    <x v="1"/>
    <n v="4666.67"/>
    <n v="535.38"/>
    <n v="201490"/>
    <d v="2014-09-01T00:00:00"/>
    <d v="2016-08-31T00:00:00"/>
    <n v="28000"/>
    <s v="Zoe.Lebel@umanitoba.ca"/>
    <m/>
  </r>
  <r>
    <n v="7613350"/>
    <s v="R"/>
    <s v="Levin"/>
    <s v="Kirill"/>
    <x v="21"/>
    <s v="Science"/>
    <x v="2"/>
    <n v="18000"/>
    <n v="690.98"/>
    <n v="201350"/>
    <d v="2015-05-01T00:00:00"/>
    <d v="2017-04-30T00:00:00"/>
    <n v="36000"/>
    <s v="umlevin7@myumanitoba.ca"/>
    <m/>
  </r>
  <r>
    <n v="7750048"/>
    <s v="R"/>
    <s v="Lin"/>
    <s v="Yang"/>
    <x v="39"/>
    <s v="Agricultural &amp; Food Sciences      "/>
    <x v="2"/>
    <n v="18000"/>
    <n v="690.54"/>
    <n v="201410"/>
    <d v="2015-05-01T00:00:00"/>
    <d v="2018-04-30T00:00:00"/>
    <n v="54000"/>
    <s v="ling3457@myumanitoba.ca"/>
    <m/>
  </r>
  <r>
    <n v="6846451"/>
    <s v="R"/>
    <s v="Lv"/>
    <s v="Jiaqing"/>
    <x v="2"/>
    <s v="Engineering"/>
    <x v="2"/>
    <n v="12000"/>
    <n v="688.68"/>
    <n v="201310"/>
    <d v="2013-05-01T00:00:00"/>
    <d v="2016-12-31T00:00:00"/>
    <n v="60000"/>
    <s v="umlvj@cc.umanitoba.ca"/>
    <m/>
  </r>
  <r>
    <n v="7714307"/>
    <s v="R"/>
    <s v="MacLean"/>
    <s v="Justine"/>
    <x v="19"/>
    <s v="Arts"/>
    <x v="1"/>
    <n v="4666.67"/>
    <n v="535.38"/>
    <n v="201490"/>
    <d v="2014-09-01T00:00:00"/>
    <d v="2016-08-31T00:00:00"/>
    <n v="28000"/>
    <s v="maclean9@myumanitoba.ca"/>
    <m/>
  </r>
  <r>
    <n v="7764408"/>
    <s v="R"/>
    <s v="Maiangwa"/>
    <s v="Benjamin"/>
    <x v="17"/>
    <s v="Graduate Studies"/>
    <x v="2"/>
    <n v="18000"/>
    <m/>
    <n v="201510"/>
    <d v="2015-05-01T00:00:00"/>
    <d v="2019-04-30T00:00:00"/>
    <n v="72000"/>
    <s v="maiangwb@myumanitoba.ca"/>
    <m/>
  </r>
  <r>
    <n v="7606648"/>
    <s v="R"/>
    <s v="Manghera"/>
    <s v="Mamneet"/>
    <x v="36"/>
    <s v="Medicine, College of"/>
    <x v="2"/>
    <n v="18000"/>
    <m/>
    <n v="201590"/>
    <d v="2015-09-01T00:00:00"/>
    <d v="2019-08-31T00:00:00"/>
    <n v="72000"/>
    <s v="mangherm@myumanitoba.ca"/>
    <m/>
  </r>
  <r>
    <n v="5825750"/>
    <s v="R"/>
    <s v="Marin"/>
    <s v="Bonnie"/>
    <x v="51"/>
    <s v="Art, School of "/>
    <x v="1"/>
    <n v="14000"/>
    <m/>
    <n v="201590"/>
    <d v="2015-09-01T00:00:00"/>
    <d v="2017-08-31T00:00:00"/>
    <n v="28000"/>
    <s v="marin@myumanitoba.ca"/>
    <m/>
  </r>
  <r>
    <n v="7619979"/>
    <s v="RM"/>
    <s v="McAndrew"/>
    <s v="Erin"/>
    <x v="41"/>
    <s v="Medicine, College of"/>
    <x v="1"/>
    <m/>
    <m/>
    <m/>
    <d v="2015-09-01T00:00:00"/>
    <d v="2016-08-31T00:00:00"/>
    <n v="8925"/>
    <m/>
    <m/>
  </r>
  <r>
    <n v="7767732"/>
    <s v="R"/>
    <s v="McKie"/>
    <s v="Sean"/>
    <x v="45"/>
    <s v="Arts"/>
    <x v="1"/>
    <n v="4666.67"/>
    <n v="535.38"/>
    <n v="201490"/>
    <d v="2014-09-01T00:00:00"/>
    <d v="2016-08-31T00:00:00"/>
    <n v="28000"/>
    <s v="mckies@myumanitoba.ca"/>
    <s v="DUFF ROBLIN"/>
  </r>
  <r>
    <s v="7641934"/>
    <s v="R"/>
    <s v="McRae"/>
    <s v="Ewan"/>
    <x v="21"/>
    <s v="Science"/>
    <x v="2"/>
    <n v="18000"/>
    <m/>
    <n v="201510"/>
    <d v="2015-09-01T00:00:00"/>
    <d v="2019-04-30T00:00:00"/>
    <n v="66000"/>
    <s v="ummcra23@myumanitoba.ca"/>
    <s v="DONE"/>
  </r>
  <r>
    <n v="7672322"/>
    <s v="R"/>
    <s v="Mejicanos"/>
    <s v="Gustavo"/>
    <x v="12"/>
    <s v="Agricultural &amp; Food Sciences      "/>
    <x v="2"/>
    <n v="18000"/>
    <n v="690.32"/>
    <n v="201510"/>
    <d v="2015-01-01T00:00:00"/>
    <d v="2018-12-31T00:00:00"/>
    <n v="72000"/>
    <s v="UMMEJICG@MYUMANITOBA.CA"/>
    <m/>
  </r>
  <r>
    <n v="7708575"/>
    <s v="R"/>
    <s v="Mikula"/>
    <s v="Paul"/>
    <x v="3"/>
    <s v="Science"/>
    <x v="2"/>
    <n v="18000"/>
    <m/>
    <n v="201510"/>
    <d v="2015-05-01T00:00:00"/>
    <d v="2019-04-30T00:00:00"/>
    <n v="72000"/>
    <s v="mikulap@myumanitoba.ca"/>
    <m/>
  </r>
  <r>
    <n v="7754126"/>
    <s v="RM"/>
    <s v="Mohammed"/>
    <s v="Ashfaque "/>
    <x v="36"/>
    <s v="Medicine, College of"/>
    <x v="0"/>
    <m/>
    <n v="341.32"/>
    <m/>
    <d v="2014-09-01T00:00:00"/>
    <d v="2016-08-31T00:00:00"/>
    <n v="17850"/>
    <m/>
    <m/>
  </r>
  <r>
    <n v="7667268"/>
    <s v="R"/>
    <s v="Mondal"/>
    <s v="Debajyoti"/>
    <x v="13"/>
    <s v="Science"/>
    <x v="2"/>
    <n v="6000"/>
    <n v="688.54"/>
    <n v="201290"/>
    <d v="2012-09-01T00:00:00"/>
    <d v="2016-08-31T00:00:00"/>
    <n v="68666.67"/>
    <s v="ummondal@myumanitoba.ca"/>
    <m/>
  </r>
  <r>
    <n v="6777254"/>
    <s v="R"/>
    <s v="Moran"/>
    <s v="Tammy"/>
    <x v="1"/>
    <s v="Nursing, College of"/>
    <x v="1"/>
    <n v="4666.67"/>
    <n v="535.38"/>
    <n v="201490"/>
    <d v="2014-09-01T00:00:00"/>
    <d v="2016-08-31T00:00:00"/>
    <n v="28000"/>
    <s v="ummorant@myumanitoba.ca"/>
    <m/>
  </r>
  <r>
    <n v="6783729"/>
    <s v="R"/>
    <s v="Morissette"/>
    <s v="Marc"/>
    <x v="24"/>
    <s v="Graduate Studies"/>
    <x v="2"/>
    <n v="18000"/>
    <n v="688.78"/>
    <n v="201410"/>
    <d v="2014-09-01T00:00:00"/>
    <d v="2017-08-31T00:00:00"/>
    <n v="54000"/>
    <s v="ummoris4@cc.umanitoba.ca"/>
    <m/>
  </r>
  <r>
    <n v="7762332"/>
    <s v="RM"/>
    <s v="Morton"/>
    <s v="Darrien "/>
    <x v="11"/>
    <s v="Medicine, College of"/>
    <x v="0"/>
    <m/>
    <n v="341.32"/>
    <m/>
    <d v="2014-09-01T00:00:00"/>
    <d v="2016-08-31T00:00:00"/>
    <n v="17850"/>
    <m/>
    <m/>
  </r>
  <r>
    <s v="7755162"/>
    <s v="R"/>
    <s v="Mostamand"/>
    <s v="Maryam"/>
    <x v="3"/>
    <s v="Science"/>
    <x v="2"/>
    <n v="18000"/>
    <n v="688.78"/>
    <n v="201490"/>
    <d v="2015-09-01T00:00:00"/>
    <d v="2018-08-31T00:00:00"/>
    <n v="54000"/>
    <s v="mostamam@myumanitoba.ca "/>
    <s v="DONE"/>
  </r>
  <r>
    <n v="6792997"/>
    <s v="RM"/>
    <s v="Mughal"/>
    <s v="Wajihah"/>
    <x v="22"/>
    <s v="Medicine, College of"/>
    <x v="0"/>
    <m/>
    <n v="347.04"/>
    <m/>
    <d v="2015-09-01T00:00:00"/>
    <d v="2017-08-31T00:00:00"/>
    <n v="18150"/>
    <m/>
    <m/>
  </r>
  <r>
    <n v="7529807"/>
    <s v="R"/>
    <s v="Muirhead"/>
    <s v="Stephen"/>
    <x v="44"/>
    <s v="Architecture (Faculty)"/>
    <x v="1"/>
    <n v="4666.67"/>
    <n v="535.38"/>
    <n v="201490"/>
    <d v="2014-09-01T00:00:00"/>
    <d v="2016-08-31T00:00:00"/>
    <n v="28000"/>
    <s v="ummuirhs@myumanitoba.ca"/>
    <m/>
  </r>
  <r>
    <n v="7723968"/>
    <s v="R"/>
    <s v="Munira"/>
    <s v="Sirajum"/>
    <x v="46"/>
    <s v="Agricultural &amp; Food Sciences      "/>
    <x v="2"/>
    <n v="12000"/>
    <n v="688.68"/>
    <n v="201310"/>
    <d v="2013-01-01T00:00:00"/>
    <d v="2016-12-31T00:00:00"/>
    <n v="69333.33"/>
    <s v="muniras@myumanitoba.ca"/>
    <m/>
  </r>
  <r>
    <n v="7650463"/>
    <s v="R"/>
    <s v="Munyaka"/>
    <s v="Peris  M"/>
    <x v="12"/>
    <s v="Agricultural &amp; Food Sciences      "/>
    <x v="2"/>
    <n v="12000"/>
    <n v="688.68"/>
    <n v="201310"/>
    <d v="2013-05-01T00:00:00"/>
    <d v="2016-12-31T00:00:00"/>
    <n v="64000.29"/>
    <s v="ummunyak@myumanitoba.ca"/>
    <m/>
  </r>
  <r>
    <s v="7766788"/>
    <s v="R"/>
    <s v="Nagengast-Stevens"/>
    <s v="Elizabeth"/>
    <x v="48"/>
    <s v="Arts"/>
    <x v="2"/>
    <n v="18000"/>
    <n v="688.78"/>
    <n v="201490"/>
    <d v="2015-09-01T00:00:00"/>
    <d v="2018-08-31T00:00:00"/>
    <n v="54000"/>
    <s v="nagengae@myumanitoba.ca"/>
    <s v="no file found"/>
  </r>
  <r>
    <n v="7745887"/>
    <s v="R"/>
    <s v="Ndou"/>
    <s v="Saymore"/>
    <x v="12"/>
    <s v="Agricultural &amp; Food Sciences      "/>
    <x v="2"/>
    <n v="18000"/>
    <n v="690.54"/>
    <n v="201410"/>
    <d v="2015-05-01T00:00:00"/>
    <d v="2018-04-30T00:00:00"/>
    <n v="54000"/>
    <s v="ndous@myumanitoba.ca"/>
    <m/>
  </r>
  <r>
    <n v="7753839"/>
    <s v="R"/>
    <s v="Nematollahi"/>
    <s v="Ali "/>
    <x v="6"/>
    <s v="Engineering"/>
    <x v="2"/>
    <n v="18000"/>
    <n v="690.54"/>
    <n v="201450"/>
    <d v="2015-05-01T00:00:00"/>
    <d v="2018-04-30T00:00:00"/>
    <n v="54000"/>
    <s v="nematola@myumanitoba.ca"/>
    <m/>
  </r>
  <r>
    <n v="7756688"/>
    <s v="R"/>
    <s v="Nikolaeva"/>
    <s v="Sardana"/>
    <x v="48"/>
    <s v="Arts"/>
    <x v="2"/>
    <n v="18000"/>
    <n v="689"/>
    <n v="201490"/>
    <d v="2014-09-01T00:00:00"/>
    <d v="2018-08-31T00:00:00"/>
    <n v="72000"/>
    <s v="nikolaes@myumanitoba.ca"/>
    <m/>
  </r>
  <r>
    <n v="7749597"/>
    <s v="R"/>
    <s v="Nnaji"/>
    <s v="Nichodemus"/>
    <x v="52"/>
    <s v="Law"/>
    <x v="1"/>
    <n v="4666.67"/>
    <n v="535.38"/>
    <n v="201490"/>
    <d v="2014-09-01T00:00:00"/>
    <d v="2016-08-31T00:00:00"/>
    <n v="28000"/>
    <s v="nnajin@myumanitoba.ca"/>
    <m/>
  </r>
  <r>
    <s v="7787835"/>
    <s v="R"/>
    <s v="Norouzi"/>
    <s v="Mohammad"/>
    <x v="40"/>
    <s v="Graduate Studies"/>
    <x v="2"/>
    <n v="18000"/>
    <n v="689.66"/>
    <n v="201590"/>
    <d v="2015-09-01T00:00:00"/>
    <d v="2019-08-31T00:00:00"/>
    <n v="72000"/>
    <s v="norouzim@cc.umanitoba.ca"/>
    <s v="no file found"/>
  </r>
  <r>
    <n v="6788419"/>
    <s v="R"/>
    <s v="Oduntan"/>
    <s v="Olayinka Idowu"/>
    <x v="13"/>
    <s v="Science"/>
    <x v="2"/>
    <n v="6000"/>
    <n v="688.54"/>
    <n v="201310"/>
    <d v="2013-05-01T00:00:00"/>
    <d v="2016-08-31T00:00:00"/>
    <n v="58000.259999999995"/>
    <s v="umodunta@myumanitoba.ca"/>
    <m/>
  </r>
  <r>
    <n v="7718489"/>
    <s v="R"/>
    <s v="Ouf"/>
    <s v="Mohamed"/>
    <x v="31"/>
    <s v="Engineering"/>
    <x v="2"/>
    <n v="6000"/>
    <n v="688.34"/>
    <n v="201290"/>
    <d v="2014-09-01T00:00:00"/>
    <d v="2016-08-31T00:00:00"/>
    <n v="36000"/>
    <s v="oufm@cc.umanitoba.ca"/>
    <m/>
  </r>
  <r>
    <n v="7734753"/>
    <s v="R"/>
    <s v="Ozoike"/>
    <s v="Patricia"/>
    <x v="10"/>
    <s v="Clayton H. Riddell Faculty of             "/>
    <x v="1"/>
    <n v="4666.67"/>
    <n v="535.38"/>
    <n v="201490"/>
    <d v="2014-09-01T00:00:00"/>
    <d v="2016-08-31T00:00:00"/>
    <n v="28000"/>
    <s v="ozoikep@myumanitoba.ca"/>
    <m/>
  </r>
  <r>
    <s v="7691715"/>
    <s v="R"/>
    <s v="Palsson"/>
    <s v="Solmunder Karl"/>
    <x v="48"/>
    <s v="Arts"/>
    <x v="2"/>
    <n v="18000"/>
    <n v="688.34"/>
    <n v="201490"/>
    <d v="2015-09-01T00:00:00"/>
    <d v="2017-08-31T00:00:00"/>
    <n v="36000"/>
    <s v="palssons@cc.umanitoba.ca "/>
    <s v="DONE"/>
  </r>
  <r>
    <n v="7759365"/>
    <s v="RM"/>
    <s v="Pandian"/>
    <s v="Nagakannan "/>
    <x v="7"/>
    <s v="Medicine, College of"/>
    <x v="0"/>
    <m/>
    <n v="342.62"/>
    <m/>
    <d v="2014-08-01T00:00:00"/>
    <d v="2016-07-31T00:00:00"/>
    <n v="17850"/>
    <m/>
    <m/>
  </r>
  <r>
    <n v="7761837"/>
    <s v="R"/>
    <s v="Parker"/>
    <s v="Kaela"/>
    <x v="48"/>
    <s v="Arts"/>
    <x v="2"/>
    <n v="18000"/>
    <n v="690.54"/>
    <n v="201490"/>
    <d v="2015-05-01T00:00:00"/>
    <d v="2018-04-30T00:00:00"/>
    <n v="54000"/>
    <s v="parkerk7@myumanitoba.ca"/>
    <m/>
  </r>
  <r>
    <n v="6850009"/>
    <s v="RM"/>
    <s v="Peden"/>
    <s v="Alexander "/>
    <x v="11"/>
    <s v="Medicine, College of"/>
    <x v="0"/>
    <m/>
    <n v="342.62"/>
    <m/>
    <d v="2014-08-01T00:00:00"/>
    <d v="2016-07-31T00:00:00"/>
    <n v="17850"/>
    <m/>
    <m/>
  </r>
  <r>
    <n v="7740401"/>
    <s v="R"/>
    <s v="Puthukulangara Ramachandran"/>
    <s v="Rani"/>
    <x v="53"/>
    <s v="Agricultural &amp; Food Sciences      "/>
    <x v="2"/>
    <n v="18000"/>
    <n v="690.98"/>
    <n v="201350"/>
    <d v="2015-05-01T00:00:00"/>
    <d v="2017-04-30T00:00:00"/>
    <n v="36000"/>
    <s v="puthuku3@myumanitoba.ca"/>
    <m/>
  </r>
  <r>
    <s v="7749798"/>
    <s v="R"/>
    <s v="Quaigrain"/>
    <s v="Rhoda Ansah"/>
    <x v="31"/>
    <s v="Engineering"/>
    <x v="2"/>
    <n v="18000"/>
    <n v="688.34"/>
    <n v="201390"/>
    <d v="2015-09-01T00:00:00"/>
    <d v="2017-08-31T00:00:00"/>
    <n v="36000"/>
    <s v="quaigrra@myumanitoba.ca"/>
    <s v="DONE"/>
  </r>
  <r>
    <n v="7667461"/>
    <s v="R"/>
    <s v="Quiring"/>
    <s v="Christine"/>
    <x v="18"/>
    <s v="Clayton H. Riddell Faculty of             "/>
    <x v="1"/>
    <n v="4666.67"/>
    <n v="535.38"/>
    <n v="201490"/>
    <d v="2014-09-01T00:00:00"/>
    <d v="2016-08-31T00:00:00"/>
    <n v="28000"/>
    <s v="umquiric@cc.umanitoba.ca"/>
    <m/>
  </r>
  <r>
    <n v="7693275"/>
    <s v="RM"/>
    <s v="Rabbi"/>
    <s v="Mohammad"/>
    <x v="36"/>
    <s v="Medicine, College of"/>
    <x v="0"/>
    <m/>
    <n v="342.62"/>
    <m/>
    <d v="2015-01-01T00:00:00"/>
    <d v="2016-12-31T00:00:00"/>
    <n v="17850"/>
    <m/>
    <m/>
  </r>
  <r>
    <s v="7722453"/>
    <s v="R"/>
    <s v="Rabie"/>
    <s v="Maliheh"/>
    <x v="14"/>
    <s v="Clayton H. Riddell Faculty of             "/>
    <x v="2"/>
    <n v="18000"/>
    <n v="689.66"/>
    <n v="201390"/>
    <d v="2015-09-01T00:00:00"/>
    <d v="2017-12-31T00:00:00"/>
    <n v="42000"/>
    <s v="rabiem@myumanitoba.ca"/>
    <s v="DONE"/>
  </r>
  <r>
    <n v="7726918"/>
    <s v="RM"/>
    <s v="Rahimi Balaei"/>
    <s v="Maryam"/>
    <x v="22"/>
    <s v="Medicine, College of"/>
    <x v="0"/>
    <m/>
    <n v="347.04"/>
    <m/>
    <d v="2015-09-01T00:00:00"/>
    <d v="2017-08-31T00:00:00"/>
    <n v="17850"/>
    <m/>
    <m/>
  </r>
  <r>
    <n v="7762446"/>
    <s v="R"/>
    <s v="Rahman"/>
    <s v="Md. Atiqur"/>
    <x v="13"/>
    <s v="Science"/>
    <x v="1"/>
    <n v="4666.67"/>
    <n v="535.38"/>
    <n v="201490"/>
    <d v="2014-09-01T00:00:00"/>
    <d v="2016-08-31T00:00:00"/>
    <n v="28000"/>
    <s v="atique@cs.umanitoba.ca"/>
    <m/>
  </r>
  <r>
    <n v="7729126"/>
    <s v="R"/>
    <s v="Rajakaruna Wanigasekara"/>
    <s v="Udari Madushani"/>
    <x v="29"/>
    <s v="Agricultural &amp; Food Sciences      "/>
    <x v="2"/>
    <n v="18000"/>
    <n v="690.54"/>
    <n v="201310"/>
    <d v="2014-05-01T00:00:00"/>
    <d v="2017-04-30T00:00:00"/>
    <n v="54000"/>
    <s v="rajakaru@cc.umanitoba.ca"/>
    <m/>
  </r>
  <r>
    <n v="7746144"/>
    <s v="R"/>
    <s v="Ramezani Kapourchali"/>
    <s v="Fatemeh"/>
    <x v="9"/>
    <s v="Agricultural &amp; Food Sciences      "/>
    <x v="2"/>
    <n v="18000"/>
    <n v="690.32"/>
    <n v="201450"/>
    <d v="2014-05-01T00:00:00"/>
    <d v="2018-04-30T00:00:00"/>
    <n v="72000"/>
    <s v="ramezanf@myumanitoba.ca"/>
    <m/>
  </r>
  <r>
    <s v="7690536"/>
    <s v="R"/>
    <s v="Rezazadeh"/>
    <s v="Navid"/>
    <x v="2"/>
    <s v="Engineering"/>
    <x v="2"/>
    <n v="18000"/>
    <n v="534.36"/>
    <n v="201490"/>
    <d v="2015-09-01T00:00:00"/>
    <d v="2018-08-31T00:00:00"/>
    <n v="54000"/>
    <s v="rezazadn@myumanitoba.ca"/>
    <s v="DONE"/>
  </r>
  <r>
    <s v="7764515"/>
    <s v="R"/>
    <s v="Rodrigues da Costa"/>
    <s v="Eduardo"/>
    <x v="17"/>
    <s v="Graduate Studies"/>
    <x v="2"/>
    <n v="18000"/>
    <n v="688.78"/>
    <n v="201490"/>
    <d v="2015-09-01T00:00:00"/>
    <d v="2018-08-31T00:00:00"/>
    <n v="54000"/>
    <s v="rodrig19@myumanitoba.ca"/>
    <s v="DONE"/>
  </r>
  <r>
    <n v="7754044"/>
    <s v="R"/>
    <s v="Ross"/>
    <s v="Jon"/>
    <x v="48"/>
    <s v="Arts"/>
    <x v="2"/>
    <n v="18000"/>
    <n v="688.78"/>
    <n v="201390"/>
    <d v="2014-09-01T00:00:00"/>
    <d v="2017-08-31T00:00:00"/>
    <n v="54000"/>
    <s v="rossj313@myumanitoba.ca"/>
    <m/>
  </r>
  <r>
    <n v="6733101"/>
    <s v="R"/>
    <s v="Rowe"/>
    <s v="Gladys"/>
    <x v="25"/>
    <s v="Social Work (Faculty)"/>
    <x v="2"/>
    <n v="18000"/>
    <n v="688.88"/>
    <n v="201390"/>
    <d v="2013-09-01T00:00:00"/>
    <d v="2017-08-31T00:00:00"/>
    <n v="70666.67"/>
    <s v="roweg@cc.umanitoba.ca"/>
    <m/>
  </r>
  <r>
    <n v="7765882"/>
    <s v="R"/>
    <s v="Runzika"/>
    <s v="Mick"/>
    <x v="46"/>
    <s v="Agricultural &amp; Food Sciences      "/>
    <x v="1"/>
    <n v="4666.67"/>
    <n v="535.38"/>
    <n v="201490"/>
    <d v="2014-09-01T00:00:00"/>
    <d v="2016-08-31T00:00:00"/>
    <n v="28000"/>
    <s v="runzikam@myumanitoba.ca"/>
    <m/>
  </r>
  <r>
    <n v="7767525"/>
    <s v="R"/>
    <s v="Searle"/>
    <s v="Meleana"/>
    <x v="27"/>
    <s v="Architecture (Faculty)"/>
    <x v="1"/>
    <n v="4666.67"/>
    <n v="535.38"/>
    <n v="201490"/>
    <d v="2014-09-01T00:00:00"/>
    <d v="2016-08-31T00:00:00"/>
    <n v="28000"/>
    <s v="searlem@myumanitoba.ca"/>
    <m/>
  </r>
  <r>
    <s v="6839758"/>
    <s v="R"/>
    <s v="Seo"/>
    <s v="Stela"/>
    <x v="13"/>
    <s v="Science"/>
    <x v="2"/>
    <n v="6000"/>
    <n v="689.66"/>
    <n v="201590"/>
    <d v="2015-09-01T00:00:00"/>
    <d v="2016-08-31T00:00:00"/>
    <n v="18000"/>
    <s v="sseo@cs.umanitoba.ca"/>
    <s v="DONE"/>
  </r>
  <r>
    <n v="7759652"/>
    <s v="R"/>
    <s v="Shaik"/>
    <s v="Feroz Ahmed"/>
    <x v="43"/>
    <s v="Dentistry, College of"/>
    <x v="2"/>
    <n v="18000"/>
    <n v="688.78"/>
    <n v="201410"/>
    <d v="2014-09-01T00:00:00"/>
    <d v="2017-08-31T00:00:00"/>
    <n v="54000"/>
    <s v="shaikfa@myumanitoba.ca"/>
    <m/>
  </r>
  <r>
    <n v="7716313"/>
    <s v="R"/>
    <s v="Shaker"/>
    <s v="Fady"/>
    <x v="3"/>
    <s v="Science"/>
    <x v="2"/>
    <n v="6000"/>
    <n v="688.34"/>
    <n v="201390"/>
    <d v="2014-09-01T00:00:00"/>
    <d v="2016-08-31T00:00:00"/>
    <n v="36000"/>
    <s v="shakerf@myumanitoba.ca"/>
    <m/>
  </r>
  <r>
    <n v="7671196"/>
    <s v="R"/>
    <s v="Sherzoi"/>
    <s v="Ogai"/>
    <x v="25"/>
    <s v="Social Work (Faculty)"/>
    <x v="1"/>
    <n v="4666.67"/>
    <n v="535.38"/>
    <n v="201490"/>
    <d v="2014-09-01T00:00:00"/>
    <d v="2016-08-31T00:00:00"/>
    <n v="28000"/>
    <s v="umsherzo@cc.umanitoba.ca"/>
    <m/>
  </r>
  <r>
    <n v="6819308"/>
    <s v="R"/>
    <s v="Shiells"/>
    <s v="Kyle"/>
    <x v="3"/>
    <s v="Science"/>
    <x v="2"/>
    <n v="18000"/>
    <n v="688.78"/>
    <n v="201350"/>
    <d v="2014-09-01T00:00:00"/>
    <d v="2017-08-31T00:00:00"/>
    <n v="54000"/>
    <s v="umshielk@myumanitoba.ca"/>
    <m/>
  </r>
  <r>
    <n v="7722279"/>
    <s v="R"/>
    <s v="Shuvo"/>
    <s v="Sabbir"/>
    <x v="32"/>
    <s v="Science"/>
    <x v="2"/>
    <n v="6000"/>
    <n v="688.34"/>
    <n v="201290"/>
    <d v="2014-09-01T00:00:00"/>
    <d v="2016-08-31T00:00:00"/>
    <n v="36000"/>
    <s v="shuvos@myumanitoba.ca"/>
    <m/>
  </r>
  <r>
    <n v="7761824"/>
    <s v="R"/>
    <s v="Sikder"/>
    <s v="Md. Sowayib"/>
    <x v="10"/>
    <s v="Clayton H. Riddell Faculty of             "/>
    <x v="1"/>
    <n v="4666.67"/>
    <n v="535.38"/>
    <n v="201490"/>
    <d v="2014-09-01T00:00:00"/>
    <d v="2016-08-31T00:00:00"/>
    <n v="28000"/>
    <s v="sikderms@myumanitoba.ca"/>
    <m/>
  </r>
  <r>
    <n v="6790401"/>
    <s v="R"/>
    <s v="Sinclair"/>
    <s v="Adele"/>
    <x v="47"/>
    <s v="Architecture (Faculty)"/>
    <x v="1"/>
    <n v="4666.67"/>
    <n v="535.38"/>
    <n v="201490"/>
    <d v="2014-09-01T00:00:00"/>
    <d v="2016-08-31T00:00:00"/>
    <n v="28000"/>
    <s v="umvangen@myumanitoba.ca"/>
    <m/>
  </r>
  <r>
    <s v="7771162"/>
    <s v="R"/>
    <s v="Singh"/>
    <s v="Manu"/>
    <x v="32"/>
    <s v="Science"/>
    <x v="2"/>
    <n v="18000"/>
    <m/>
    <n v="201490"/>
    <d v="2015-09-01T00:00:00"/>
    <d v="2018-08-31T00:00:00"/>
    <n v="54000"/>
    <s v="singhm12@myumanitoba.ca"/>
    <s v="DONE"/>
  </r>
  <r>
    <s v="7531937"/>
    <s v="R"/>
    <s v="Struch"/>
    <s v="Joanne"/>
    <x v="4"/>
    <s v="Education Faculty"/>
    <x v="2"/>
    <n v="18000"/>
    <n v="690.98"/>
    <n v="201350"/>
    <d v="2015-05-01T00:00:00"/>
    <d v="2017-04-30T00:00:00"/>
    <n v="36000"/>
    <s v="struchj@myumanitoba.ca"/>
    <s v="DONE"/>
  </r>
  <r>
    <n v="7692739"/>
    <s v="R"/>
    <s v="Tahmasebian"/>
    <s v="Ehsan"/>
    <x v="2"/>
    <s v="Engineering"/>
    <x v="2"/>
    <n v="18000"/>
    <n v="690.32"/>
    <n v="201510"/>
    <d v="2015-05-01T00:00:00"/>
    <d v="2019-04-30T00:00:00"/>
    <n v="72000"/>
    <s v="tahmasee@myumanitoba.ca"/>
    <m/>
  </r>
  <r>
    <n v="7619252"/>
    <s v="R"/>
    <s v="Tang"/>
    <s v="Vincent"/>
    <x v="44"/>
    <s v="Architecture (Faculty)"/>
    <x v="1"/>
    <n v="4666.67"/>
    <n v="535.38"/>
    <n v="201490"/>
    <d v="2014-09-01T00:00:00"/>
    <d v="2016-08-31T00:00:00"/>
    <n v="28000"/>
    <s v="umtangv@cc.umanitoba.ca"/>
    <m/>
  </r>
  <r>
    <n v="6757643"/>
    <s v="R"/>
    <s v="Taylor"/>
    <s v="Amanda  "/>
    <x v="46"/>
    <s v="Agricultural &amp; Food Sciences      "/>
    <x v="2"/>
    <n v="12000"/>
    <n v="689.66"/>
    <n v="201310"/>
    <d v="2015-01-01T00:00:00"/>
    <d v="2016-12-31T00:00:00"/>
    <n v="36000"/>
    <s v="amanda_m_taylor@umanitoba.ca"/>
    <m/>
  </r>
  <r>
    <n v="7717264"/>
    <s v="R"/>
    <s v="Teimoorisichani"/>
    <s v="Mohammadreza"/>
    <x v="3"/>
    <s v="Science"/>
    <x v="2"/>
    <n v="18000"/>
    <n v="688.78"/>
    <n v="201490"/>
    <d v="2014-09-01T00:00:00"/>
    <d v="2017-08-31T00:00:00"/>
    <n v="54000"/>
    <s v="teimoorm@myumanitoba.ca"/>
    <m/>
  </r>
  <r>
    <n v="7776879"/>
    <s v="R"/>
    <s v="Thezard"/>
    <s v="Florent"/>
    <x v="54"/>
    <s v="Rehabilitation Sciences, College of "/>
    <x v="1"/>
    <n v="4666.67"/>
    <n v="535.38"/>
    <n v="201490"/>
    <d v="2014-09-01T00:00:00"/>
    <d v="2016-08-31T00:00:00"/>
    <n v="28000"/>
    <s v="thezardf@myumanitoba.ca"/>
    <m/>
  </r>
  <r>
    <n v="6843054"/>
    <s v="RM"/>
    <s v="Thompson"/>
    <s v="Laura "/>
    <x v="41"/>
    <s v="Medicine, College of"/>
    <x v="0"/>
    <m/>
    <n v="341.32"/>
    <m/>
    <d v="2014-09-01T00:00:00"/>
    <d v="2016-08-31T00:00:00"/>
    <n v="17850"/>
    <m/>
    <m/>
  </r>
  <r>
    <n v="6843239"/>
    <s v="R"/>
    <s v="Timmerman"/>
    <s v="Lisa"/>
    <x v="1"/>
    <s v="Nursing, College of"/>
    <x v="1"/>
    <n v="4666.67"/>
    <n v="535.38"/>
    <n v="201490"/>
    <d v="2014-09-01T00:00:00"/>
    <d v="2016-08-31T00:00:00"/>
    <n v="28000"/>
    <s v="umtimme4@myumanitoba.ca"/>
    <m/>
  </r>
  <r>
    <n v="7658575"/>
    <s v="R"/>
    <s v="Tiznobaik"/>
    <s v="Mohammad"/>
    <x v="31"/>
    <s v="Engineering"/>
    <x v="2"/>
    <n v="18000"/>
    <n v="690.54"/>
    <n v="201450"/>
    <d v="2015-05-01T00:00:00"/>
    <d v="2018-04-30T00:00:00"/>
    <n v="54000"/>
    <s v="umtiznob@myumanitoba.ca"/>
    <m/>
  </r>
  <r>
    <n v="7719039"/>
    <s v="R"/>
    <s v="Tsaturian"/>
    <s v="Sergii"/>
    <x v="20"/>
    <s v="Science"/>
    <x v="2"/>
    <n v="6000"/>
    <n v="688.34"/>
    <n v="201290"/>
    <d v="2014-09-01T00:00:00"/>
    <d v="2016-08-31T00:00:00"/>
    <n v="36000"/>
    <s v="tsaturis@cc.umanitoba.ca"/>
    <m/>
  </r>
  <r>
    <n v="7764625"/>
    <s v="R"/>
    <s v="Uddin"/>
    <s v="Mohammad Taslim"/>
    <x v="35"/>
    <s v="Arts"/>
    <x v="2"/>
    <n v="18000"/>
    <n v="689"/>
    <n v="201490"/>
    <d v="2014-09-01T00:00:00"/>
    <d v="2018-08-31T00:00:00"/>
    <n v="72000"/>
    <s v="uddinm34@myumanitoba.ca"/>
    <s v="DUFF ROBLIN"/>
  </r>
  <r>
    <s v="7795789"/>
    <s v="R"/>
    <s v="Vahora"/>
    <s v="Tasneem"/>
    <x v="53"/>
    <s v="Agricultural &amp; Food Sciences      "/>
    <x v="2"/>
    <n v="18000"/>
    <n v="689.66"/>
    <n v="201590"/>
    <d v="2015-09-01T00:00:00"/>
    <d v="2019-08-31T00:00:00"/>
    <n v="72000"/>
    <s v="vahorat4@myumanitoba.ca"/>
    <s v="DONE"/>
  </r>
  <r>
    <n v="7742263"/>
    <s v="R"/>
    <s v="Vences Estudillo"/>
    <s v="Alaide"/>
    <x v="17"/>
    <s v="Graduate Studies"/>
    <x v="2"/>
    <n v="18000"/>
    <n v="690.98"/>
    <n v="201390"/>
    <d v="2015-05-01T00:00:00"/>
    <d v="2017-04-30T00:00:00"/>
    <n v="36000"/>
    <s v="vencesea@myumanitoba.ca"/>
    <m/>
  </r>
  <r>
    <n v="7729605"/>
    <s v="R"/>
    <s v="Vrignon-Tessier"/>
    <s v="Denis"/>
    <x v="15"/>
    <s v="Architecture (Faculty)"/>
    <x v="1"/>
    <n v="4666.67"/>
    <n v="535.38"/>
    <n v="201490"/>
    <d v="2014-09-01T00:00:00"/>
    <d v="2016-08-31T00:00:00"/>
    <n v="28000"/>
    <s v="vrignond@cc.umanitoba.ca"/>
    <m/>
  </r>
  <r>
    <n v="7769377"/>
    <s v="R"/>
    <s v="Walkey"/>
    <s v="Sarah"/>
    <x v="37"/>
    <s v="Rehabilitation Sciences, College of "/>
    <x v="1"/>
    <n v="4666.67"/>
    <n v="535.38"/>
    <n v="201490"/>
    <d v="2014-09-01T00:00:00"/>
    <d v="2016-08-31T00:00:00"/>
    <n v="28000"/>
    <s v="walkeys@myumanitoba.ca"/>
    <m/>
  </r>
  <r>
    <n v="7645384"/>
    <s v="RM"/>
    <s v="Wang"/>
    <s v="Jie"/>
    <x v="7"/>
    <s v="Medicine, College of"/>
    <x v="0"/>
    <m/>
    <n v="344.18"/>
    <m/>
    <d v="2015-09-01T00:00:00"/>
    <d v="2017-08-31T00:00:00"/>
    <n v="18000"/>
    <m/>
    <m/>
  </r>
  <r>
    <n v="7703482"/>
    <s v="R"/>
    <s v="Waritanant"/>
    <s v="Tanant"/>
    <x v="2"/>
    <s v="Engineering"/>
    <x v="2"/>
    <n v="18000"/>
    <n v="688.08"/>
    <n v="201210"/>
    <d v="2014-01-01T00:00:00"/>
    <s v=" "/>
    <n v="35333.33"/>
    <s v="waritant@myumanitoba.ca"/>
    <m/>
  </r>
  <r>
    <s v="0957092"/>
    <s v="R"/>
    <s v="Wells-Dyck"/>
    <s v="Alison"/>
    <x v="4"/>
    <s v="Education Faculty"/>
    <x v="2"/>
    <n v="6000"/>
    <n v="688.54"/>
    <n v="201290"/>
    <d v="2013-09-01T00:00:00"/>
    <d v="2016-08-31T00:00:00"/>
    <n v="52666.67"/>
    <s v="umwellsa@myumanitoba.ca"/>
    <m/>
  </r>
  <r>
    <n v="6851705"/>
    <s v="R"/>
    <s v="Wiens"/>
    <s v="Mya"/>
    <x v="10"/>
    <s v="Clayton H. Riddell Faculty of             "/>
    <x v="2"/>
    <n v="6000"/>
    <n v="689"/>
    <n v="201490"/>
    <d v="2014-09-01T00:00:00"/>
    <d v="2016-08-31T00:00:00"/>
    <n v="18000"/>
    <s v="umwheelm@cc.umanitoba.ca"/>
    <m/>
  </r>
  <r>
    <n v="7775570"/>
    <s v="RM"/>
    <s v="Xu"/>
    <s v="Yang Xin (Cindy)"/>
    <x v="7"/>
    <s v="Medicine, College of"/>
    <x v="0"/>
    <m/>
    <n v="534.36"/>
    <m/>
    <d v="2015-09-01T00:00:00"/>
    <d v="2016-08-31T00:00:00"/>
    <n v="14000"/>
    <m/>
    <m/>
  </r>
  <r>
    <n v="7706581"/>
    <s v="R"/>
    <s v="Yadav"/>
    <s v="Anjali"/>
    <x v="43"/>
    <s v="Dentistry, College of"/>
    <x v="2"/>
    <n v="6000"/>
    <n v="688.34"/>
    <n v="201290"/>
    <d v="2014-09-01T00:00:00"/>
    <d v="2016-08-31T00:00:00"/>
    <n v="36000"/>
    <s v="yadava@myumanitoba.ca"/>
    <m/>
  </r>
  <r>
    <s v="7742262"/>
    <s v="R"/>
    <s v="Yan"/>
    <s v="Jun"/>
    <x v="28"/>
    <s v="Business, Asper School of "/>
    <x v="2"/>
    <n v="12000"/>
    <m/>
    <n v="201390"/>
    <d v="2015-09-01T00:00:00"/>
    <d v="2016-04-30T00:00:00"/>
    <n v="12000"/>
    <s v="yanj3456@myumanitoba.ca"/>
    <s v="DONE"/>
  </r>
  <r>
    <n v="7728945"/>
    <s v="R"/>
    <s v="Yates"/>
    <s v="Heather"/>
    <x v="19"/>
    <s v="Arts"/>
    <x v="2"/>
    <n v="18000"/>
    <n v="688.78"/>
    <n v="201390"/>
    <d v="2014-09-01T00:00:00"/>
    <d v="2017-08-31T00:00:00"/>
    <n v="54000"/>
    <s v="Heather.Yates@umanitoba.ca"/>
    <m/>
  </r>
  <r>
    <s v="7716322"/>
    <s v="R"/>
    <s v="Yi"/>
    <s v="Changyan"/>
    <x v="2"/>
    <s v="Engineering"/>
    <x v="2"/>
    <n v="18000"/>
    <m/>
    <n v="201490"/>
    <d v="2015-09-01T00:00:00"/>
    <d v="2018-08-31T00:00:00"/>
    <n v="54000"/>
    <s v="Changyan.Yi@umanitoba.ca"/>
    <s v="DONE"/>
  </r>
  <r>
    <n v="7786427"/>
    <s v="R"/>
    <s v="Yoshino"/>
    <s v="Kazutoshi"/>
    <x v="4"/>
    <s v="Education Faculty"/>
    <x v="2"/>
    <n v="18000"/>
    <m/>
    <n v="201390"/>
    <d v="2015-09-01T00:00:00"/>
    <d v="2018-08-31T00:00:00"/>
    <n v="54000"/>
    <s v="yoshinok@myumanitoba.ca"/>
    <m/>
  </r>
  <r>
    <n v="6777107"/>
    <s v="R"/>
    <s v="Yu"/>
    <s v="Han"/>
    <x v="33"/>
    <s v="Science"/>
    <x v="2"/>
    <n v="18000"/>
    <m/>
    <n v="201390"/>
    <d v="2015-09-01T00:00:00"/>
    <d v="2017-08-31T00:00:00"/>
    <n v="36000"/>
    <s v="yoshinok@cc.umanitoba.ca"/>
    <s v="DONE"/>
  </r>
  <r>
    <n v="7685098"/>
    <s v="MHRC"/>
    <s v="Zeglinski"/>
    <s v="Matthew "/>
    <x v="7"/>
    <s v="Medicine, College of"/>
    <x v="0"/>
    <m/>
    <m/>
    <m/>
    <m/>
    <m/>
    <m/>
    <m/>
    <m/>
  </r>
  <r>
    <n v="7767540"/>
    <s v="R"/>
    <s v="Zeng"/>
    <s v="Zhiwei"/>
    <x v="53"/>
    <s v="Agricultural &amp; Food Sciences      "/>
    <x v="1"/>
    <n v="4666.67"/>
    <n v="342.62"/>
    <n v="201490"/>
    <d v="2014-09-01T00:00:00"/>
    <d v="2016-08-31T00:00:00"/>
    <n v="28000"/>
    <s v="441928595@QQ.COM"/>
    <s v="DUFF ROBLIN"/>
  </r>
  <r>
    <n v="6847610"/>
    <s v="R"/>
    <s v="Zhang"/>
    <s v="Yu  "/>
    <x v="33"/>
    <s v="Science"/>
    <x v="2"/>
    <n v="12000"/>
    <n v="688.54"/>
    <n v="201310"/>
    <d v="2014-09-01T00:00:00"/>
    <d v="2016-12-31T00:00:00"/>
    <n v="42000"/>
    <s v="umzha345@myumanitoba.ca"/>
    <m/>
  </r>
  <r>
    <n v="7631708"/>
    <s v="MHRC"/>
    <s v="Zhu"/>
    <s v="Shenghua"/>
    <x v="55"/>
    <s v="Medicine, College of"/>
    <x v="0"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5">
  <r>
    <s v="7771375"/>
    <s v="R"/>
    <s v="Abbasian"/>
    <s v="Parandoush"/>
    <x v="0"/>
    <s v="Science"/>
    <x v="0"/>
    <n v="5000"/>
    <m/>
    <n v="201490"/>
    <d v="2015-09-01T00:00:00"/>
    <d v="2016-08-31T00:00:00"/>
    <n v="15000"/>
    <s v="abbasiap@myumanitoba.ca "/>
  </r>
  <r>
    <s v="7788286"/>
    <s v="R"/>
    <s v="Abdul-Karim"/>
    <s v="Abdul-Basi"/>
    <x v="1"/>
    <s v="Arts"/>
    <x v="0"/>
    <n v="15000"/>
    <m/>
    <n v="201590"/>
    <d v="2015-09-01T00:00:00"/>
    <d v="2017-08-31T00:00:00"/>
    <n v="30000"/>
    <s v="abdulkaa@myumanitoba.ca "/>
  </r>
  <r>
    <s v="7789328"/>
    <s v="R"/>
    <s v="Agyei Asiamah"/>
    <s v="Henrietta"/>
    <x v="2"/>
    <s v="Arts"/>
    <x v="0"/>
    <n v="15000"/>
    <m/>
    <n v="201590"/>
    <d v="2015-09-01T00:00:00"/>
    <d v="2017-08-31T00:00:00"/>
    <n v="30000"/>
    <s v="agyeiash@myumanitoba.ca "/>
  </r>
  <r>
    <s v="7766490"/>
    <s v="R"/>
    <s v="Ahmed"/>
    <s v="Sharif"/>
    <x v="3"/>
    <s v="Engineering"/>
    <x v="0"/>
    <n v="5000"/>
    <m/>
    <n v="201490"/>
    <d v="2015-09-01T00:00:00"/>
    <d v="2016-08-31T00:00:00"/>
    <n v="15000"/>
    <s v="ahmeds37@myumanitoba.ca "/>
  </r>
  <r>
    <n v="7660342"/>
    <s v="R"/>
    <s v="A-iyeh"/>
    <s v="Enoch"/>
    <x v="4"/>
    <s v="Engineering"/>
    <x v="1"/>
    <n v="18000"/>
    <n v="689.66"/>
    <n v="201310"/>
    <d v="2014-05-01T00:00:00"/>
    <d v="2017-12-31T00:00:00"/>
    <n v="54000"/>
    <s v="umaiyeh@myumanitoba.ca"/>
  </r>
  <r>
    <n v="7716305"/>
    <s v="R"/>
    <s v="Alphonse"/>
    <s v="Peter"/>
    <x v="5"/>
    <s v="Agricultural &amp; Food Sciences      "/>
    <x v="1"/>
    <n v="5000"/>
    <n v="287.36"/>
    <n v="201310"/>
    <d v="2013-01-01T00:00:00"/>
    <d v="2016-12-31T00:00:00"/>
    <n v="30000"/>
    <s v="sujithap@myumanitoba.ca"/>
  </r>
  <r>
    <n v="7781789"/>
    <s v="R"/>
    <s v="Amin"/>
    <s v="Mahmud"/>
    <x v="6"/>
    <s v="Engineering"/>
    <x v="0"/>
    <n v="15000"/>
    <m/>
    <n v="201510"/>
    <d v="2015-05-01T00:00:00"/>
    <d v="2017-04-30T00:00:00"/>
    <n v="30000"/>
    <s v="aminm@myumanitoba.ca"/>
  </r>
  <r>
    <n v="7765158"/>
    <s v="R"/>
    <s v="Ampenyin"/>
    <s v="Lawrence"/>
    <x v="7"/>
    <s v="Agricultural &amp; Food Sciences      "/>
    <x v="0"/>
    <n v="5000"/>
    <n v="573.62"/>
    <s v="201190"/>
    <d v="2014-09-01T00:00:00"/>
    <d v="2016-08-31T00:00:00"/>
    <n v="30000"/>
    <s v="ampenyil@myumanitoba.ca"/>
  </r>
  <r>
    <n v="7691203"/>
    <s v="R"/>
    <s v="Arman"/>
    <s v="Andrii"/>
    <x v="8"/>
    <s v="Science"/>
    <x v="1"/>
    <n v="18000"/>
    <n v="688.88"/>
    <s v="201390"/>
    <d v="2013-09-01T00:00:00"/>
    <d v="2017-08-31T00:00:00"/>
    <n v="70666.67"/>
    <s v="armana@myumanitoba.ca"/>
  </r>
  <r>
    <n v="7605281"/>
    <s v="R"/>
    <s v="Banthia"/>
    <s v="Vikram"/>
    <x v="3"/>
    <s v="Engineering"/>
    <x v="1"/>
    <n v="12000"/>
    <n v="688.68"/>
    <s v="201290"/>
    <d v="2014-05-01T00:00:00"/>
    <d v="2016-12-31T00:00:00"/>
    <n v="42666.67"/>
    <s v="umbanthv@myumanitoba.ca"/>
  </r>
  <r>
    <n v="7713762"/>
    <s v="R"/>
    <s v="Barclay"/>
    <s v="Kirsta Lynne"/>
    <x v="9"/>
    <s v="Arts"/>
    <x v="1"/>
    <n v="2500"/>
    <n v="287.64"/>
    <s v="201290"/>
    <d v="2012-09-01T00:00:00"/>
    <d v="2016-08-31T00:00:00"/>
    <n v="30000"/>
    <s v="barclayk@myumanitoba.ca"/>
  </r>
  <r>
    <n v="7691202"/>
    <s v="R"/>
    <s v="Bilokopytov"/>
    <s v="Ievgen"/>
    <x v="8"/>
    <s v="Science"/>
    <x v="1"/>
    <n v="18000"/>
    <n v="688.88"/>
    <s v="201390"/>
    <d v="2013-09-01T00:00:00"/>
    <d v="2017-08-31T00:00:00"/>
    <n v="70666.67"/>
    <s v="bilokopi@cc.umanitoba.ca"/>
  </r>
  <r>
    <s v="7693230"/>
    <s v="R"/>
    <s v="Blumenschein"/>
    <s v="Larissa"/>
    <x v="10"/>
    <s v="Architecture (Faculty)"/>
    <x v="0"/>
    <n v="15000"/>
    <m/>
    <n v="201590"/>
    <d v="2015-09-01T00:00:00"/>
    <d v="2017-08-31T00:00:00"/>
    <n v="30000"/>
    <s v="blumensl@cc.umanitoba.ca "/>
  </r>
  <r>
    <s v="7718278"/>
    <s v="R"/>
    <s v="Braun"/>
    <s v="Stacey"/>
    <x v="11"/>
    <s v="Rehabilitation Sciences, College of "/>
    <x v="0"/>
    <n v="15000"/>
    <m/>
    <n v="201590"/>
    <d v="2015-09-01T00:00:00"/>
    <d v="2017-08-31T00:00:00"/>
    <n v="30000"/>
    <s v="brauns3@myumanitoba.ca"/>
  </r>
  <r>
    <s v="7776534"/>
    <s v="R"/>
    <s v="Brewster"/>
    <s v="Jasmine"/>
    <x v="12"/>
    <s v="Clayton H. Riddell Faculty of             "/>
    <x v="0"/>
    <n v="5000"/>
    <m/>
    <n v="201490"/>
    <d v="2015-09-01T00:00:00"/>
    <d v="2016-08-31T00:00:00"/>
    <n v="15000"/>
    <s v="brewste3@myumanitoba.ca "/>
  </r>
  <r>
    <n v="6840933"/>
    <s v="R"/>
    <s v="Campbell"/>
    <s v="Karley Lynn"/>
    <x v="12"/>
    <s v="Clayton H. Riddell Faculty of             "/>
    <x v="1"/>
    <n v="2500"/>
    <n v="287.64"/>
    <s v="201290"/>
    <d v="2012-09-01T00:00:00"/>
    <d v="2016-08-31T00:00:00"/>
    <n v="30000"/>
    <s v="umcampb2@myumanitoba.ca"/>
  </r>
  <r>
    <n v="6797113"/>
    <s v="R"/>
    <s v="Conway"/>
    <s v="Tara  "/>
    <x v="13"/>
    <s v="Arts"/>
    <x v="1"/>
    <n v="18000"/>
    <n v="690.54"/>
    <n v="201510"/>
    <d v="2015-01-01T00:00:00"/>
    <d v="2017-12-31T00:00:00"/>
    <m/>
    <n v="54000"/>
  </r>
  <r>
    <s v="7792350"/>
    <s v="R"/>
    <s v="Cruz Lopez"/>
    <s v="Carlos"/>
    <x v="14"/>
    <s v="Science"/>
    <x v="0"/>
    <n v="15000"/>
    <m/>
    <n v="201590"/>
    <d v="2015-09-01T00:00:00"/>
    <d v="2017-08-31T00:00:00"/>
    <n v="30000"/>
    <s v="cruzloca@cc.umanitoba.ca "/>
  </r>
  <r>
    <s v="7799058"/>
    <s v="R"/>
    <s v="Cyr"/>
    <s v="Marie-Eve"/>
    <x v="15"/>
    <s v="Clayton H. Riddell Faculty of             "/>
    <x v="0"/>
    <n v="15000"/>
    <m/>
    <n v="201590"/>
    <d v="2015-09-01T00:00:00"/>
    <d v="2017-08-31T00:00:00"/>
    <n v="30000"/>
    <s v="cyrm345@myumanitoba.ca "/>
  </r>
  <r>
    <n v="7670732"/>
    <s v="R"/>
    <s v="Day"/>
    <s v="Maxwell"/>
    <x v="16"/>
    <s v="Clayton H. Riddell Faculty of             "/>
    <x v="0"/>
    <n v="15000"/>
    <m/>
    <n v="201610"/>
    <d v="2016-01-01T00:00:00"/>
    <d v="2017-12-31T00:00:00"/>
    <n v="30000"/>
    <s v="umday23@cc.umanitoba.ca"/>
  </r>
  <r>
    <n v="7750938"/>
    <s v="R"/>
    <s v="Delara"/>
    <s v="Mahin"/>
    <x v="17"/>
    <s v="Graduate Studies"/>
    <x v="1"/>
    <n v="7500"/>
    <n v="613.04"/>
    <s v="201390"/>
    <d v="2013-09-01T00:00:00"/>
    <d v="2017-08-31T00:00:00"/>
    <m/>
    <s v="delaram@myumanitoba.ca"/>
  </r>
  <r>
    <s v="7668238"/>
    <s v="R"/>
    <s v="Desmarais"/>
    <s v="Colin"/>
    <x v="8"/>
    <s v="Science"/>
    <x v="0"/>
    <n v="15000"/>
    <m/>
    <n v="201590"/>
    <d v="2015-09-01T00:00:00"/>
    <d v="2017-08-31T00:00:00"/>
    <n v="30000"/>
    <s v="umdesmac@myumanitoba.ca "/>
  </r>
  <r>
    <n v="7616206"/>
    <s v="R"/>
    <s v="Dokurno"/>
    <s v="Karalyn"/>
    <x v="18"/>
    <s v="Arts"/>
    <x v="1"/>
    <n v="2500"/>
    <n v="287.64"/>
    <s v="201290"/>
    <d v="2012-09-01T00:00:00"/>
    <d v="2016-08-31T00:00:00"/>
    <n v="30000"/>
    <s v="umdokurn@myumanitoba.ca"/>
  </r>
  <r>
    <s v="6792025"/>
    <s v="R"/>
    <s v="Doms"/>
    <s v="Christopher"/>
    <x v="19"/>
    <s v="Rehabilitation Sciences, College of "/>
    <x v="0"/>
    <n v="15000"/>
    <m/>
    <n v="201590"/>
    <d v="2015-09-01T00:00:00"/>
    <d v="2017-08-31T00:00:00"/>
    <n v="30000"/>
    <s v="umdoms@myumanitoba.ca "/>
  </r>
  <r>
    <n v="7680441"/>
    <s v="R"/>
    <s v="Dowle"/>
    <s v="Doug"/>
    <x v="1"/>
    <s v="Arts"/>
    <x v="0"/>
    <n v="5000"/>
    <n v="573.62"/>
    <s v="201290"/>
    <d v="2014-09-01T00:00:00"/>
    <d v="2016-08-31T00:00:00"/>
    <n v="30000"/>
    <s v="umdowle3@myumanitoba.ca"/>
  </r>
  <r>
    <s v="7790999"/>
    <s v="R"/>
    <s v="Draper"/>
    <s v="Catherine"/>
    <x v="20"/>
    <s v="Education"/>
    <x v="0"/>
    <n v="5000"/>
    <m/>
    <n v="201590"/>
    <d v="2015-09-01T00:00:00"/>
    <d v="2016-08-31T00:00:00"/>
    <n v="15000"/>
    <s v="draperc@myumanitoba.ca"/>
  </r>
  <r>
    <s v="7630322"/>
    <s v="R"/>
    <s v="Dudok"/>
    <s v="Stephanie"/>
    <x v="13"/>
    <s v="Arts"/>
    <x v="0"/>
    <n v="5000"/>
    <m/>
    <n v="201590"/>
    <d v="2015-09-01T00:00:00"/>
    <d v="2016-08-31T00:00:00"/>
    <n v="15000"/>
    <s v="dudoks3@myumanitoba.ca "/>
  </r>
  <r>
    <s v="6798622"/>
    <s v="R"/>
    <s v="Dueck"/>
    <s v="Steve"/>
    <x v="9"/>
    <s v="Arts"/>
    <x v="0"/>
    <n v="5000"/>
    <m/>
    <n v="201490"/>
    <d v="2015-09-01T00:00:00"/>
    <d v="2016-08-03T00:00:00"/>
    <n v="30000"/>
    <s v="duecks38@myumanitoba.ca"/>
  </r>
  <r>
    <n v="7723291"/>
    <s v="R"/>
    <s v="Dyck"/>
    <s v="Jessica"/>
    <x v="11"/>
    <s v="Rehabilitation Sciences, College of "/>
    <x v="0"/>
    <n v="5000"/>
    <n v="573.62"/>
    <s v="201150"/>
    <d v="2014-09-01T00:00:00"/>
    <d v="2016-08-31T00:00:00"/>
    <n v="30000"/>
    <s v="dyckj317@myumanitoba.ca"/>
  </r>
  <r>
    <n v="7764045"/>
    <s v="R"/>
    <s v="Eibna Halim"/>
    <s v="Md. Zubaer"/>
    <x v="4"/>
    <s v="Engineering"/>
    <x v="0"/>
    <n v="5000"/>
    <n v="573.62"/>
    <s v="201290"/>
    <d v="2014-09-01T00:00:00"/>
    <d v="2016-08-31T00:00:00"/>
    <n v="30000"/>
    <s v="eibnahmz@myumanitoba.ca"/>
  </r>
  <r>
    <n v="7705863"/>
    <s v="R"/>
    <s v="ElGendy"/>
    <s v="Mohammed"/>
    <x v="6"/>
    <s v="Engineering"/>
    <x v="1"/>
    <n v="18000"/>
    <n v="690.32"/>
    <n v="201510"/>
    <d v="2015-01-01T00:00:00"/>
    <d v="2018-12-31T00:00:00"/>
    <n v="72000"/>
    <s v="elgendym@cc.umanitoba.ca"/>
  </r>
  <r>
    <n v="7676754"/>
    <s v="R"/>
    <s v="Eliasova"/>
    <s v="Veronika"/>
    <x v="1"/>
    <s v="Arts"/>
    <x v="0"/>
    <n v="5000"/>
    <n v="573.62"/>
    <s v="201410"/>
    <d v="2014-09-01T00:00:00"/>
    <d v="2016-08-31T00:00:00"/>
    <n v="30000"/>
    <s v="umeliasv@myumanitoba.ca"/>
  </r>
  <r>
    <s v="7667911"/>
    <s v="R"/>
    <s v="Epp"/>
    <s v="Tyler"/>
    <x v="6"/>
    <s v="Engineering"/>
    <x v="0"/>
    <n v="15000"/>
    <m/>
    <n v="201590"/>
    <d v="2015-09-01T00:00:00"/>
    <d v="2017-08-31T00:00:00"/>
    <n v="30000"/>
    <s v="umeppt@myumanitoba.ca "/>
  </r>
  <r>
    <n v="7701536"/>
    <s v="R"/>
    <s v="Essel"/>
    <s v="Ebenezer Ekow"/>
    <x v="3"/>
    <s v="Engineering"/>
    <x v="1"/>
    <n v="12000"/>
    <n v="688.68"/>
    <s v="201410"/>
    <d v="2014-01-01T00:00:00"/>
    <d v="2016-12-31T00:00:00"/>
    <n v="53333.34"/>
    <s v="essele@myumanitoba.ca"/>
  </r>
  <r>
    <s v="7649938"/>
    <s v="R"/>
    <s v="Eyer"/>
    <s v="Robyn"/>
    <x v="11"/>
    <s v="Rehabilitation Sciences, College of "/>
    <x v="0"/>
    <n v="15000"/>
    <m/>
    <n v="201590"/>
    <d v="2015-09-01T00:00:00"/>
    <d v="2017-08-31T00:00:00"/>
    <n v="30000"/>
    <s v="umeyerr@myumanitoba.ca"/>
  </r>
  <r>
    <n v="7778419"/>
    <s v="R"/>
    <s v="Faisal"/>
    <s v="Farjana"/>
    <x v="3"/>
    <s v="Engineering"/>
    <x v="0"/>
    <n v="15000"/>
    <n v="537.44000000000005"/>
    <n v="201510"/>
    <d v="2015-05-01T00:00:00"/>
    <d v="2017-04-30T00:00:00"/>
    <n v="30000"/>
    <s v="faisalf@myumanitoba.ca"/>
  </r>
  <r>
    <n v="7765606"/>
    <s v="R"/>
    <s v="Feng"/>
    <s v="Qiwei"/>
    <x v="8"/>
    <s v="Science"/>
    <x v="0"/>
    <n v="15000"/>
    <n v="591.19000000000005"/>
    <n v="201510"/>
    <d v="2015-05-01T00:00:00"/>
    <d v="2017-04-30T00:00:00"/>
    <n v="28000"/>
    <s v="fengq@myumanitoba.ca"/>
  </r>
  <r>
    <s v="6845956"/>
    <s v="R"/>
    <s v="Fontaine"/>
    <s v="Rikki"/>
    <x v="21"/>
    <s v="Social Work (Faculty)"/>
    <x v="0"/>
    <n v="15000"/>
    <m/>
    <n v="201590"/>
    <d v="2015-09-01T00:00:00"/>
    <d v="2017-08-31T00:00:00"/>
    <n v="30000"/>
    <s v="fontai30@myumanitoba.ca "/>
  </r>
  <r>
    <n v="6854615"/>
    <s v="R"/>
    <s v="Girard"/>
    <s v="Ian "/>
    <x v="14"/>
    <s v="Science"/>
    <x v="0"/>
    <n v="5000"/>
    <m/>
    <n v="201450"/>
    <d v="2015-09-01T00:00:00"/>
    <d v="2016-08-31T00:00:00"/>
    <n v="15000"/>
    <s v="umgirari@myumanitoba.ca"/>
  </r>
  <r>
    <n v="7637108"/>
    <s v="R"/>
    <s v="Griffin"/>
    <s v="Keelin"/>
    <x v="1"/>
    <s v="Arts"/>
    <x v="0"/>
    <n v="5000"/>
    <m/>
    <n v="201590"/>
    <d v="2015-09-01T00:00:00"/>
    <d v="2016-08-31T00:00:00"/>
    <n v="15000"/>
    <s v="umgrif37@myumanitoba.ca"/>
  </r>
  <r>
    <s v="7743298"/>
    <s v="R"/>
    <s v="Groening"/>
    <s v="Allison"/>
    <x v="21"/>
    <s v="Social Work (Faculty)"/>
    <x v="0"/>
    <n v="0"/>
    <m/>
    <n v="201590"/>
    <d v="2015-09-01T00:00:00"/>
    <d v="2016-04-30T00:00:00"/>
    <n v="15000"/>
    <s v="groenin4@myumanitoba.ca"/>
  </r>
  <r>
    <s v="7789376"/>
    <s v="R"/>
    <s v="Haghshenaslari"/>
    <s v="Maryam"/>
    <x v="22"/>
    <s v="Architecture (Faculty)"/>
    <x v="0"/>
    <n v="15000"/>
    <m/>
    <n v="201590"/>
    <d v="2015-09-01T00:00:00"/>
    <d v="2017-08-31T00:00:00"/>
    <n v="30000"/>
    <s v="haghshem@myumanitoba.ca "/>
  </r>
  <r>
    <n v="7642226"/>
    <s v="R"/>
    <s v="Hamidzadeh"/>
    <s v="Khashayar"/>
    <x v="23"/>
    <s v="Arts"/>
    <x v="1"/>
    <n v="18000"/>
    <n v="689.66"/>
    <s v="201390"/>
    <d v="2014-01-01T00:00:00"/>
    <d v="2017-12-31T00:00:00"/>
    <n v="71333.34"/>
    <s v="umhamidk@myumanitoba.ca"/>
  </r>
  <r>
    <s v="7727617"/>
    <s v="R"/>
    <s v="Harder"/>
    <s v="Alysha"/>
    <x v="19"/>
    <s v="Rehabilitation Sciences, College of "/>
    <x v="0"/>
    <n v="15000"/>
    <m/>
    <n v="201590"/>
    <d v="2015-09-01T00:00:00"/>
    <d v="2017-08-31T00:00:00"/>
    <n v="30000"/>
    <s v="hardera4@myumanitoba.ca "/>
  </r>
  <r>
    <s v="7794864"/>
    <s v="R"/>
    <s v="Heathcote"/>
    <s v="Alexandra"/>
    <x v="15"/>
    <s v="Clayton H. Riddell Faculty of             "/>
    <x v="0"/>
    <n v="15000"/>
    <m/>
    <n v="201590"/>
    <d v="2015-09-01T00:00:00"/>
    <d v="2017-08-31T00:00:00"/>
    <n v="3000"/>
    <s v="Alexandra.Heathcote@umanitoba.ca"/>
  </r>
  <r>
    <s v="7686566"/>
    <s v="R"/>
    <s v="Hilder"/>
    <s v="Jane"/>
    <x v="24"/>
    <s v="Architecture (Faculty)"/>
    <x v="0"/>
    <n v="15000"/>
    <m/>
    <n v="201590"/>
    <d v="2015-09-01T00:00:00"/>
    <d v="2017-08-31T00:00:00"/>
    <n v="30000"/>
    <s v="jane.hilder@umanitoba.ca"/>
  </r>
  <r>
    <n v="7747370"/>
    <s v="R"/>
    <s v="Hoque "/>
    <s v="Md. Erfanul"/>
    <x v="25"/>
    <s v="Science"/>
    <x v="0"/>
    <n v="5000"/>
    <n v="573.62"/>
    <s v="201390"/>
    <d v="2014-09-01T00:00:00"/>
    <d v="2016-08-31T00:00:00"/>
    <n v="30000"/>
    <s v="hoqueme@myumanitoba.ca"/>
  </r>
  <r>
    <n v="7732833"/>
    <s v="R"/>
    <s v="Huang"/>
    <s v="Shiwei"/>
    <x v="4"/>
    <s v="Engineering"/>
    <x v="1"/>
    <n v="18000"/>
    <n v="688.88"/>
    <s v="201390"/>
    <d v="2013-09-01T00:00:00"/>
    <d v="2017-08-31T00:00:00"/>
    <n v="70666.67"/>
    <s v="huangs37@myumanitoba.ca"/>
  </r>
  <r>
    <n v="7619393"/>
    <s v="R"/>
    <s v="Hutchings"/>
    <s v="Roy"/>
    <x v="26"/>
    <s v="Science"/>
    <x v="0"/>
    <n v="15000"/>
    <m/>
    <n v="201510"/>
    <d v="2015-05-01T00:00:00"/>
    <d v="2017-04-30T00:00:00"/>
    <n v="30000"/>
    <s v="umhutchr@cc.umanitoba.ca"/>
  </r>
  <r>
    <s v="7615054"/>
    <s v="R"/>
    <s v="Hutton"/>
    <s v="Jaxon Rae"/>
    <x v="27"/>
    <s v="Kinesiology &amp; Recreation Management "/>
    <x v="0"/>
    <n v="15000"/>
    <m/>
    <n v="201590"/>
    <d v="2015-09-01T00:00:00"/>
    <d v="2017-08-31T00:00:00"/>
    <n v="30000"/>
    <s v="umhutto3@cc.umanitoba.ca "/>
  </r>
  <r>
    <n v="7772150"/>
    <s v="R"/>
    <s v="Imran"/>
    <s v="Zoya"/>
    <x v="28"/>
    <s v="Rehabilitation Sciences, College of "/>
    <x v="0"/>
    <n v="5000"/>
    <n v="573.62"/>
    <s v="200990"/>
    <d v="2014-09-01T00:00:00"/>
    <d v="2016-08-31T00:00:00"/>
    <n v="30000"/>
    <s v="imranz@myumanitoba.ca"/>
  </r>
  <r>
    <s v="7617606"/>
    <s v="R"/>
    <s v="Isaak"/>
    <s v="Carly"/>
    <x v="29"/>
    <s v="Agricultural &amp; Food Sciences      "/>
    <x v="0"/>
    <n v="15000"/>
    <m/>
    <n v="201510"/>
    <d v="2015-05-01T00:00:00"/>
    <d v="2017-04-30T00:00:00"/>
    <n v="30000"/>
    <s v="umisaak4@cc.umanitoba.ca"/>
  </r>
  <r>
    <n v="7741089"/>
    <s v="R"/>
    <s v="Islam"/>
    <s v="Md. Anisul"/>
    <x v="3"/>
    <s v="Engineering"/>
    <x v="0"/>
    <n v="15000"/>
    <n v="689.66"/>
    <n v="201410"/>
    <d v="2014-01-01T00:00:00"/>
    <d v="2017-12-31T00:00:00"/>
    <n v="71333.36"/>
    <s v="islamma@myumanitoba.ca"/>
  </r>
  <r>
    <n v="7791188"/>
    <s v="R"/>
    <s v="Islam"/>
    <s v="Md. Ariful"/>
    <x v="5"/>
    <s v="Agricultural &amp; Food Sciences      "/>
    <x v="0"/>
    <n v="15000"/>
    <m/>
    <n v="201590"/>
    <d v="2015-09-01T00:00:00"/>
    <d v="2017-08-31T00:00:00"/>
    <n v="30000"/>
    <s v="islamma5@myumanitoba.ca"/>
  </r>
  <r>
    <s v="7785492"/>
    <s v="R"/>
    <s v="Jensen"/>
    <s v="Mikyla"/>
    <x v="30"/>
    <s v="Music, Marcel A. Desautels Faculty of "/>
    <x v="0"/>
    <n v="15000"/>
    <m/>
    <n v="201590"/>
    <d v="2015-09-01T00:00:00"/>
    <d v="2017-08-31T00:00:00"/>
    <n v="30000"/>
    <s v="jensenm5@cc.umanitoba.ca "/>
  </r>
  <r>
    <n v="7759726"/>
    <s v="R"/>
    <s v="Kaja"/>
    <s v="Krishna Phani"/>
    <x v="31"/>
    <s v="Agricultural &amp; Food Sciences      "/>
    <x v="0"/>
    <n v="5000"/>
    <n v="573.62"/>
    <s v="201190"/>
    <d v="2014-09-01T00:00:00"/>
    <d v="2016-08-31T00:00:00"/>
    <n v="30000"/>
    <s v="kajakp@myumanitoba.ca"/>
  </r>
  <r>
    <n v="7711859"/>
    <s v="R"/>
    <s v="Kardashevskaya"/>
    <s v="Maria"/>
    <x v="32"/>
    <s v="Graduate Studies"/>
    <x v="1"/>
    <n v="6000"/>
    <n v="689.66"/>
    <s v="201090"/>
    <d v="2014-05-01T00:00:00"/>
    <d v="2016-08-31T00:00:00"/>
    <n v="36000"/>
    <s v="kardashm@myumanitoba.ca"/>
  </r>
  <r>
    <n v="7714854"/>
    <s v="R"/>
    <s v="Ke"/>
    <s v="Jiangnan"/>
    <x v="22"/>
    <s v="Architecture (Faculty)"/>
    <x v="0"/>
    <n v="5000"/>
    <n v="573.62"/>
    <s v="201190"/>
    <d v="2014-09-01T00:00:00"/>
    <d v="2016-08-31T00:00:00"/>
    <n v="30000"/>
    <s v="kej@myumanitoba.ca"/>
  </r>
  <r>
    <n v="7747387"/>
    <s v="R"/>
    <s v="Kimura"/>
    <s v="Kazushige"/>
    <x v="33"/>
    <s v="Graduate Studies"/>
    <x v="1"/>
    <n v="18000"/>
    <n v="688.78"/>
    <s v="201210"/>
    <d v="2014-09-01T00:00:00"/>
    <d v="2017-08-31T00:00:00"/>
    <n v="54000"/>
    <s v="kimurak@myumanitoba.ca"/>
  </r>
  <r>
    <s v="7660706"/>
    <s v="R"/>
    <s v="Klassen"/>
    <s v="Stefan"/>
    <x v="22"/>
    <s v="Architecture (Faculty)"/>
    <x v="0"/>
    <n v="5000"/>
    <m/>
    <n v="201590"/>
    <d v="2015-09-01T00:00:00"/>
    <d v="2016-08-31T00:00:00"/>
    <n v="15000"/>
    <s v="umkla369@cc.umanitoba.ca "/>
  </r>
  <r>
    <n v="7767417"/>
    <s v="R"/>
    <s v="Kondakov"/>
    <s v="Alexey"/>
    <x v="34"/>
    <s v="Arts"/>
    <x v="0"/>
    <n v="5000"/>
    <n v="573.62"/>
    <s v="201390"/>
    <d v="2014-09-01T00:00:00"/>
    <d v="2016-08-31T00:00:00"/>
    <n v="30000"/>
    <s v="kondakoa@myumanitoba.ca"/>
  </r>
  <r>
    <s v="7781635"/>
    <s v="R"/>
    <s v="Koo"/>
    <s v="Bonjin"/>
    <x v="35"/>
    <s v="Agricultural &amp; Food Sciences      "/>
    <x v="0"/>
    <n v="15000"/>
    <m/>
    <n v="201550"/>
    <d v="2015-05-01T00:00:00"/>
    <d v="2017-04-30T00:00:00"/>
    <n v="30000"/>
    <s v="koob@myumanitoba.ca"/>
  </r>
  <r>
    <s v="7684298"/>
    <s v="R"/>
    <s v="Kosmenko"/>
    <s v="Nickolas"/>
    <x v="27"/>
    <s v="Kinesiology &amp; Recreation Management "/>
    <x v="0"/>
    <n v="5000"/>
    <m/>
    <n v="201590"/>
    <d v="2015-09-01T00:00:00"/>
    <d v="2016-08-31T00:00:00"/>
    <n v="15000"/>
    <s v="umkosme2@cc.umanitoba.ca "/>
  </r>
  <r>
    <s v="7769117"/>
    <s v="R"/>
    <s v="Krepski"/>
    <s v="Heather"/>
    <x v="20"/>
    <s v="Education"/>
    <x v="0"/>
    <n v="5000"/>
    <m/>
    <n v="201490"/>
    <d v="2015-09-01T00:00:00"/>
    <d v="2016-08-31T00:00:00"/>
    <n v="30000"/>
    <s v="krepskih@cc.umanitoba.ca "/>
  </r>
  <r>
    <n v="7640265"/>
    <s v="R"/>
    <s v="Krushel"/>
    <s v="Melissa"/>
    <x v="13"/>
    <s v="Arts"/>
    <x v="0"/>
    <n v="5000"/>
    <n v="573.62"/>
    <s v="201350"/>
    <d v="2014-09-01T00:00:00"/>
    <d v="2016-08-31T00:00:00"/>
    <n v="30000"/>
    <s v="umkrushm@myumanitoba.ca"/>
  </r>
  <r>
    <n v="7651480"/>
    <s v="R"/>
    <s v="Lewicki"/>
    <s v="Brydget"/>
    <x v="24"/>
    <s v="Architecture (Faculty)"/>
    <x v="0"/>
    <n v="15000"/>
    <m/>
    <n v="201590"/>
    <d v="2015-09-01T00:00:00"/>
    <d v="2017-08-31T00:00:00"/>
    <n v="30000"/>
    <s v="umlewicb@myumanitoba.ca"/>
  </r>
  <r>
    <s v="7776831"/>
    <s v="R"/>
    <s v="MacLean"/>
    <s v="Anne"/>
    <x v="15"/>
    <s v="Clayton H. Riddell Faculty of             "/>
    <x v="0"/>
    <n v="5000"/>
    <m/>
    <n v="201490"/>
    <d v="2015-09-01T00:00:00"/>
    <d v="2016-08-31T00:00:00"/>
    <n v="15000"/>
    <s v="maclean8@myumanitoba.ca"/>
  </r>
  <r>
    <n v="7681110"/>
    <s v="R"/>
    <s v="Mante "/>
    <s v="Afua A."/>
    <x v="31"/>
    <s v="Agricultural &amp; Food Sciences      "/>
    <x v="1"/>
    <n v="18000"/>
    <n v="690.54"/>
    <s v="201310"/>
    <d v="2014-05-01T00:00:00"/>
    <d v="2017-04-30T00:00:00"/>
    <n v="54000"/>
    <s v="umampadu@myumanitoba.ca"/>
  </r>
  <r>
    <s v="7780943"/>
    <s v="R"/>
    <s v="Maswera"/>
    <s v="Tapiwa"/>
    <x v="8"/>
    <s v="Science"/>
    <x v="0"/>
    <n v="15000"/>
    <m/>
    <n v="201590"/>
    <d v="2015-09-01T00:00:00"/>
    <d v="2017-08-31T00:00:00"/>
    <n v="30000"/>
    <s v="maswerat@cc.umanitoba.ca "/>
  </r>
  <r>
    <s v="7762549"/>
    <s v="R"/>
    <s v="McDivitt"/>
    <s v="Karmen"/>
    <x v="13"/>
    <s v="Arts"/>
    <x v="0"/>
    <n v="5000"/>
    <m/>
    <n v="201490"/>
    <d v="2015-09-01T00:00:00"/>
    <d v="2016-08-31T00:00:00"/>
    <n v="30000"/>
    <s v="mcdivitk@myumanitoba.ca"/>
  </r>
  <r>
    <n v="7763378"/>
    <s v="R"/>
    <s v="McKenzie"/>
    <s v="Nicholas John"/>
    <x v="32"/>
    <s v="Graduate Studies"/>
    <x v="1"/>
    <n v="18000"/>
    <n v="689"/>
    <s v="201190"/>
    <d v="2014-09-01T00:00:00"/>
    <d v="2018-08-31T00:00:00"/>
    <n v="72000"/>
    <s v="mckenz18@myumanitoba.ca"/>
  </r>
  <r>
    <s v="7708727"/>
    <s v="R"/>
    <s v="McLeod"/>
    <s v="Carly"/>
    <x v="11"/>
    <s v="Rehabilitation Sciences, College of "/>
    <x v="0"/>
    <n v="15000"/>
    <m/>
    <n v="201590"/>
    <d v="2015-09-01T00:00:00"/>
    <d v="2017-08-31T00:00:00"/>
    <n v="30000"/>
    <s v="mcleod10@myumanitoba.ca"/>
  </r>
  <r>
    <n v="7764987"/>
    <s v="R"/>
    <s v="Menezes"/>
    <s v="Marian Borges Silva"/>
    <x v="30"/>
    <s v="Music, Marcel A. Desautels Faculty of "/>
    <x v="0"/>
    <n v="5000"/>
    <n v="573.62"/>
    <s v="201390"/>
    <d v="2014-09-01T00:00:00"/>
    <d v="2016-08-31T00:00:00"/>
    <n v="30000"/>
    <s v="menezesm@myumanitoba.ca"/>
  </r>
  <r>
    <n v="7756687"/>
    <s v="R"/>
    <s v="Mercredi"/>
    <s v="Morgan"/>
    <x v="0"/>
    <s v="Science"/>
    <x v="1"/>
    <n v="18000"/>
    <n v="688.78"/>
    <s v="201390"/>
    <d v="2014-09-01T00:00:00"/>
    <d v="2017-08-31T00:00:00"/>
    <n v="54000"/>
    <s v="mercreme@myumanitoba.ca"/>
  </r>
  <r>
    <n v="6828051"/>
    <s v="R"/>
    <s v="Michalyshyn"/>
    <s v="Chelsey"/>
    <x v="13"/>
    <s v="Arts"/>
    <x v="1"/>
    <n v="18000"/>
    <n v="688.78"/>
    <s v="201390"/>
    <d v="2014-09-01T00:00:00"/>
    <d v="2017-08-31T00:00:00"/>
    <n v="54000"/>
    <s v="ummichal@myumanitoba.ca"/>
  </r>
  <r>
    <n v="7667268"/>
    <s v="R"/>
    <s v="Mondal"/>
    <s v="Debajyoti"/>
    <x v="4"/>
    <s v="Engineering"/>
    <x v="1"/>
    <n v="2500"/>
    <n v="287.64"/>
    <n v="201290"/>
    <d v="2012-09-01T00:00:00"/>
    <d v="2016-08-31T00:00:00"/>
    <n v="30000"/>
    <s v="ummondal@myumanitoba.ca"/>
  </r>
  <r>
    <n v="7723968"/>
    <s v="R"/>
    <s v="Munira"/>
    <s v="Sirajum"/>
    <x v="36"/>
    <s v="Agricultural &amp; Food Sciences      "/>
    <x v="1"/>
    <n v="5000"/>
    <n v="287.36"/>
    <n v="201310"/>
    <d v="2013-01-01T00:00:00"/>
    <d v="2016-12-31T00:00:00"/>
    <n v="30000"/>
    <s v="muniras@myumanitoba.ca"/>
  </r>
  <r>
    <n v="7682464"/>
    <s v="R"/>
    <s v="Niu"/>
    <s v="Chen"/>
    <x v="4"/>
    <s v="Engineering"/>
    <x v="0"/>
    <n v="15000"/>
    <n v="591.19000000000005"/>
    <n v="201550"/>
    <d v="2015-05-01T00:00:00"/>
    <d v="2017-04-30T00:00:00"/>
    <n v="30000"/>
    <s v="niuc@cc.umanitoba.ca"/>
  </r>
  <r>
    <n v="7762586"/>
    <s v="R"/>
    <s v="Nosratmishekarlou"/>
    <s v="Elaheh"/>
    <x v="5"/>
    <s v="Agricultural &amp; Food Sciences      "/>
    <x v="0"/>
    <n v="15000"/>
    <m/>
    <n v="201510"/>
    <d v="2015-05-01T00:00:00"/>
    <d v="2017-04-30T00:00:00"/>
    <n v="30000"/>
    <s v="nosratme@myumanitoba.ca"/>
  </r>
  <r>
    <n v="7763195"/>
    <s v="R"/>
    <s v="Oghieakhe"/>
    <s v="Bella"/>
    <x v="32"/>
    <s v="Graduate Studies"/>
    <x v="0"/>
    <n v="10000"/>
    <n v="574.72"/>
    <n v="201510"/>
    <d v="2015-01-01T00:00:00"/>
    <d v="2016-12-31T00:00:00"/>
    <n v="30000"/>
    <s v="oghieakb@myumanitoba.ca"/>
  </r>
  <r>
    <s v="7791087"/>
    <s v="R"/>
    <s v="Oladesu"/>
    <s v="Olusola"/>
    <x v="7"/>
    <s v="Agricultural &amp; Food Sciences      "/>
    <x v="0"/>
    <n v="15000"/>
    <m/>
    <n v="201590"/>
    <d v="2015-09-01T00:00:00"/>
    <d v="2017-08-31T00:00:00"/>
    <n v="30000"/>
    <s v="oladesuo@cc.umanitoba.ca "/>
  </r>
  <r>
    <s v="7781361"/>
    <s v="R"/>
    <s v="Olatinwo"/>
    <s v="Wuraola"/>
    <x v="37"/>
    <s v="Law"/>
    <x v="0"/>
    <n v="15000"/>
    <m/>
    <n v="201590"/>
    <d v="2015-09-01T00:00:00"/>
    <d v="2017-08-31T00:00:00"/>
    <n v="30000"/>
    <s v="olatinww@cc.umanitoba.ca"/>
  </r>
  <r>
    <s v="7766924"/>
    <s v="R"/>
    <s v="Omotosho"/>
    <s v="Simbiat"/>
    <x v="8"/>
    <s v="Science"/>
    <x v="0"/>
    <n v="5000"/>
    <m/>
    <n v="201490"/>
    <d v="2015-09-01T00:00:00"/>
    <d v="2016-08-31T00:00:00"/>
    <n v="15000"/>
    <s v="adefissa@myumanitoba.ca"/>
  </r>
  <r>
    <n v="7696594"/>
    <s v="R"/>
    <s v="Ong"/>
    <s v="Li Kee"/>
    <x v="38"/>
    <s v="Business, Asper School of "/>
    <x v="0"/>
    <n v="5000"/>
    <n v="573.62"/>
    <s v="201290"/>
    <d v="2014-09-01T00:00:00"/>
    <d v="2016-08-31T00:00:00"/>
    <n v="30000"/>
    <s v="onglk@cc.umanitoba.ca"/>
  </r>
  <r>
    <n v="7783726"/>
    <s v="R"/>
    <s v="Owusu"/>
    <s v="Veronica"/>
    <x v="39"/>
    <s v="Agricultural &amp; Food Sciences      "/>
    <x v="0"/>
    <n v="15000"/>
    <m/>
    <n v="201610"/>
    <d v="2016-01-01T00:00:00"/>
    <d v="2017-12-31T00:00:00"/>
    <n v="30000"/>
    <s v="owusuva@myumanitoba.ca"/>
  </r>
  <r>
    <n v="7768763"/>
    <s v="R"/>
    <s v="Padmathilake"/>
    <s v="Kaluhannadige Rasanie"/>
    <x v="39"/>
    <s v="Agricultural &amp; Food Sciences      "/>
    <x v="1"/>
    <n v="18000"/>
    <n v="689"/>
    <s v="201490"/>
    <d v="2014-09-01T00:00:00"/>
    <d v="2018-08-31T00:00:00"/>
    <n v="72000"/>
    <s v="padmatkr@myumanitoba.ca"/>
  </r>
  <r>
    <n v="7767057"/>
    <s v="R"/>
    <s v="Panfilov"/>
    <s v="Ivan"/>
    <x v="31"/>
    <s v="Agricultural &amp; Food Sciences      "/>
    <x v="0"/>
    <n v="15000"/>
    <m/>
    <n v="201610"/>
    <d v="2016-01-01T00:00:00"/>
    <d v="2017-12-31T00:00:00"/>
    <n v="30000"/>
    <s v="panfiloi@myumanitoba.ca"/>
  </r>
  <r>
    <s v="7643954"/>
    <s v="R"/>
    <s v="Parashin"/>
    <s v="Sara"/>
    <x v="31"/>
    <s v="Agricultural &amp; Food Sciences      "/>
    <x v="0"/>
    <n v="15000"/>
    <m/>
    <n v="201590"/>
    <d v="2015-09-01T00:00:00"/>
    <d v="2017-08-31T00:00:00"/>
    <n v="30000"/>
    <s v="umparass@myumanitoba.ca"/>
  </r>
  <r>
    <s v="7764610"/>
    <s v="R"/>
    <s v="Petrus"/>
    <s v="Iana"/>
    <x v="32"/>
    <s v="Graduate Studies"/>
    <x v="0"/>
    <n v="5000"/>
    <m/>
    <n v="201490"/>
    <d v="2015-09-01T00:00:00"/>
    <d v="2016-08-31T00:00:00"/>
    <n v="15000"/>
    <s v="petrusi@myumanitoba.ca"/>
  </r>
  <r>
    <s v="7765893"/>
    <s v="R"/>
    <s v="Rahman"/>
    <s v="S.M. Hasanur"/>
    <x v="6"/>
    <s v="Engineering"/>
    <x v="0"/>
    <n v="5000"/>
    <m/>
    <n v="201490"/>
    <d v="2015-09-01T00:00:00"/>
    <d v="2016-08-31T00:00:00"/>
    <n v="15000"/>
    <s v="rahmasmh@myumanitoba.ca"/>
  </r>
  <r>
    <s v="7686442"/>
    <s v="R"/>
    <s v="Rockar"/>
    <s v="Ella"/>
    <x v="1"/>
    <s v="Arts"/>
    <x v="0"/>
    <n v="5000"/>
    <m/>
    <n v="201590"/>
    <d v="2015-09-01T00:00:00"/>
    <d v="2016-08-31T00:00:00"/>
    <n v="15000"/>
    <s v="rockare@myumanitoba.ca"/>
  </r>
  <r>
    <s v="7788989"/>
    <s v="R"/>
    <s v="Rodriguez Llorian"/>
    <s v="Elizabet"/>
    <x v="2"/>
    <s v="Arts"/>
    <x v="0"/>
    <n v="15000"/>
    <m/>
    <n v="201590"/>
    <d v="2015-09-01T00:00:00"/>
    <d v="2017-08-31T00:00:00"/>
    <n v="30000"/>
    <s v="rodrig21@cc.umanitoba.ca "/>
  </r>
  <r>
    <s v="7776835"/>
    <s v="R"/>
    <s v="Russell-Edmonds"/>
    <s v="Jessica"/>
    <x v="10"/>
    <s v="Architecture (Faculty)"/>
    <x v="0"/>
    <n v="15000"/>
    <m/>
    <n v="201590"/>
    <d v="2015-09-01T00:00:00"/>
    <d v="2017-08-31T00:00:00"/>
    <n v="30000"/>
    <s v="russel26@cc.umanitoba.ca "/>
  </r>
  <r>
    <s v="7771155"/>
    <s v="R"/>
    <s v="Ryall"/>
    <s v="Emily"/>
    <x v="15"/>
    <s v="Clayton H. Riddell Faculty of             "/>
    <x v="0"/>
    <n v="5000"/>
    <m/>
    <n v="201490"/>
    <d v="2015-09-01T00:00:00"/>
    <d v="2016-08-31T00:00:00"/>
    <n v="15000"/>
    <s v="ryalle@myumanitoba.ca"/>
  </r>
  <r>
    <n v="7753217"/>
    <s v="R"/>
    <s v="Saha"/>
    <s v="Shumit"/>
    <x v="33"/>
    <s v="Graduate Studies"/>
    <x v="0"/>
    <n v="5000"/>
    <n v="573.62"/>
    <n v="201490"/>
    <d v="2014-09-01T00:00:00"/>
    <d v="2016-08-31T00:00:00"/>
    <n v="30000"/>
    <s v="sahas34@myumanitoba.ca"/>
  </r>
  <r>
    <n v="7716307"/>
    <s v="R"/>
    <s v="Sakr"/>
    <s v="Ahmed"/>
    <x v="4"/>
    <s v="Engineering"/>
    <x v="1"/>
    <n v="6000"/>
    <n v="688.34"/>
    <n v="201290"/>
    <d v="2014-09-01T00:00:00"/>
    <d v="2016-08-31T00:00:00"/>
    <n v="36000"/>
    <s v="sakra@myumanitoba.ca"/>
  </r>
  <r>
    <s v="7787285"/>
    <s v="R"/>
    <s v="Saltarelli"/>
    <s v="Leandro"/>
    <x v="30"/>
    <s v="Music, Marcel A. Desautels Faculty of "/>
    <x v="0"/>
    <n v="15000"/>
    <m/>
    <n v="201590"/>
    <d v="2015-09-01T00:00:00"/>
    <d v="2017-08-31T00:00:00"/>
    <n v="30000"/>
    <s v="saltarel@cc.umanitoba.ca"/>
  </r>
  <r>
    <s v="7673820"/>
    <s v="R"/>
    <s v="Schellenberg"/>
    <s v="Evan"/>
    <x v="22"/>
    <s v="Architecture (Faculty)"/>
    <x v="0"/>
    <n v="5000"/>
    <m/>
    <n v="201590"/>
    <d v="2015-09-01T00:00:00"/>
    <d v="2016-08-31T00:00:00"/>
    <n v="30000"/>
    <s v="umsche45@myumanitoba.ca "/>
  </r>
  <r>
    <n v="7716837"/>
    <s v="R"/>
    <s v="Semasinghe"/>
    <s v="Lakshika Prabodini"/>
    <x v="4"/>
    <s v="Engineering"/>
    <x v="1"/>
    <n v="6000"/>
    <n v="688.34"/>
    <n v="201290"/>
    <d v="2014-09-01T00:00:00"/>
    <d v="2016-08-31T00:00:00"/>
    <n v="36000"/>
    <s v="semasilp@myumanitoba.ca"/>
  </r>
  <r>
    <n v="6031952"/>
    <s v="R"/>
    <s v="Seniuk Cicek"/>
    <s v="Jillian"/>
    <x v="31"/>
    <s v="Agricultural &amp; Food Sciences      "/>
    <x v="1"/>
    <n v="2500"/>
    <n v="172.42"/>
    <n v="201210"/>
    <d v="2012-05-01T00:00:00"/>
    <d v="2016-08-31T00:00:00"/>
    <n v="30000"/>
    <s v="umseniuk@myumanitoba.ca"/>
  </r>
  <r>
    <s v="7768243"/>
    <s v="R"/>
    <s v="Shatil"/>
    <s v="Anwar Shahadat"/>
    <x v="0"/>
    <s v="Science"/>
    <x v="0"/>
    <n v="5000"/>
    <m/>
    <n v="201490"/>
    <d v="2015-09-01T00:00:00"/>
    <d v="2016-08-31T00:00:00"/>
    <n v="15000"/>
    <s v="shatilas@myumanitoba.ca "/>
  </r>
  <r>
    <s v="7674635"/>
    <s v="R"/>
    <s v="Shaw"/>
    <s v="David"/>
    <x v="18"/>
    <s v="Arts"/>
    <x v="0"/>
    <n v="15000"/>
    <m/>
    <n v="201590"/>
    <d v="2015-09-01T00:00:00"/>
    <d v="2017-08-31T00:00:00"/>
    <n v="30000"/>
    <s v="umshaw5@cc.umanitoba.ca"/>
  </r>
  <r>
    <s v="6800236"/>
    <s v="R"/>
    <s v="Shears"/>
    <s v="Victoria"/>
    <x v="21"/>
    <s v="Social Work (Faculty)"/>
    <x v="0"/>
    <n v="0"/>
    <m/>
    <n v="201490"/>
    <d v="2015-09-01T00:00:00"/>
    <d v="2016-04-30T00:00:00"/>
    <n v="1000"/>
    <s v="umshears@cc.umanitoba.ca "/>
  </r>
  <r>
    <s v="7688942"/>
    <s v="R"/>
    <s v="Shumski"/>
    <s v="Curtis"/>
    <x v="4"/>
    <s v="Engineering"/>
    <x v="0"/>
    <n v="15000"/>
    <m/>
    <n v="201590"/>
    <d v="2015-09-01T00:00:00"/>
    <d v="2017-08-31T00:00:00"/>
    <n v="30000"/>
    <s v="shumskic@myumanitoba.ca"/>
  </r>
  <r>
    <n v="7766617"/>
    <s v="R"/>
    <s v="Siddiqui"/>
    <s v="Sana"/>
    <x v="4"/>
    <s v="Engineering"/>
    <x v="0"/>
    <n v="10000"/>
    <n v="574.72"/>
    <n v="201510"/>
    <d v="2015-01-01T00:00:00"/>
    <d v="2016-12-31T00:00:00"/>
    <n v="30000"/>
    <s v="siddiqu5@myumanitoba.ca"/>
  </r>
  <r>
    <s v="7637692"/>
    <s v="R"/>
    <s v="Sieradzki"/>
    <s v="Britt"/>
    <x v="40"/>
    <s v="Medicine, College of"/>
    <x v="0"/>
    <n v="5000"/>
    <m/>
    <n v="201490"/>
    <d v="2015-09-01T00:00:00"/>
    <d v="2016-08-31T00:00:00"/>
    <n v="15000"/>
    <s v="umsierab@myumanitoba.ca "/>
  </r>
  <r>
    <s v="7790063"/>
    <s v="R"/>
    <s v="Smith"/>
    <s v="Conor"/>
    <x v="10"/>
    <s v="Architecture (Faculty)"/>
    <x v="0"/>
    <n v="5000"/>
    <m/>
    <n v="201590"/>
    <d v="2015-09-01T00:00:00"/>
    <d v="2016-08-31T00:00:00"/>
    <n v="15000"/>
    <s v="smithc29@myumanitoba.ca "/>
  </r>
  <r>
    <n v="7706272"/>
    <s v="R"/>
    <s v="Tabatabaei"/>
    <s v="Dina"/>
    <x v="13"/>
    <s v="Arts"/>
    <x v="0"/>
    <n v="5000"/>
    <n v="573.62"/>
    <n v="201490"/>
    <d v="2014-09-01T00:00:00"/>
    <d v="2016-08-31T00:00:00"/>
    <n v="30000"/>
    <s v="tabatabd@myumanitoba.ca"/>
  </r>
  <r>
    <n v="7764312"/>
    <s v="R"/>
    <s v="Talukder"/>
    <s v="Rubel Chandra"/>
    <x v="4"/>
    <s v="Engineering"/>
    <x v="0"/>
    <n v="5000"/>
    <n v="573.62"/>
    <n v="201490"/>
    <d v="2014-09-01T00:00:00"/>
    <d v="2016-08-31T00:00:00"/>
    <n v="30000"/>
    <s v="talukdrc@myumanitoba.ca"/>
  </r>
  <r>
    <s v="6826971"/>
    <s v="R"/>
    <s v="Suarez-Amaya"/>
    <s v="Sasha"/>
    <x v="24"/>
    <s v="Architecture (Faculty)"/>
    <x v="0"/>
    <n v="15000"/>
    <m/>
    <n v="201590"/>
    <d v="2015-09-01T00:00:00"/>
    <d v="2017-08-31T00:00:00"/>
    <n v="30000"/>
    <s v="suareza3@myumanitoba.ca"/>
  </r>
  <r>
    <s v="7688656"/>
    <s v="R"/>
    <s v="Thomson"/>
    <s v="Erika"/>
    <x v="34"/>
    <s v="Arts"/>
    <x v="0"/>
    <n v="15000"/>
    <m/>
    <n v="201590"/>
    <d v="2015-09-01T00:00:00"/>
    <d v="2017-08-31T00:00:00"/>
    <n v="30000"/>
    <s v="thomso11@myumanitoba.ca"/>
  </r>
  <r>
    <s v="7635827"/>
    <s v="R"/>
    <s v="Turenne"/>
    <s v="Daniel"/>
    <x v="38"/>
    <s v="Business, Asper School of "/>
    <x v="0"/>
    <n v="15000"/>
    <m/>
    <n v="201590"/>
    <d v="2015-09-01T00:00:00"/>
    <d v="2017-08-31T00:00:00"/>
    <n v="30000"/>
    <s v="umturenn@cc.umanitoba.ca"/>
  </r>
  <r>
    <n v="7764998"/>
    <s v="R"/>
    <s v="Unrau"/>
    <s v="Melanie"/>
    <x v="18"/>
    <s v="Arts"/>
    <x v="1"/>
    <n v="18000"/>
    <m/>
    <n v="201450"/>
    <d v="2014-05-01T00:00:00"/>
    <d v="2018-04-30T00:00:00"/>
    <n v="72000"/>
    <s v="umraum3@myumanitoba.ca"/>
  </r>
  <r>
    <s v="7640010"/>
    <s v="R"/>
    <s v="Upadhyaya"/>
    <s v="Ranju"/>
    <x v="1"/>
    <s v="Arts"/>
    <x v="0"/>
    <n v="5000"/>
    <m/>
    <n v="201590"/>
    <d v="2015-09-01T00:00:00"/>
    <d v="2016-08-31T00:00:00"/>
    <n v="15000"/>
    <s v="umupadh2@myumanitoba.ca"/>
  </r>
  <r>
    <n v="7752643"/>
    <s v="R"/>
    <s v="Usoltseva"/>
    <s v="Olena"/>
    <x v="8"/>
    <s v="Science"/>
    <x v="1"/>
    <n v="18000"/>
    <n v="688.78"/>
    <n v="201410"/>
    <d v="2014-09-01T00:00:00"/>
    <d v="2017-08-31T00:00:00"/>
    <n v="54000"/>
    <s v="usoltseo@myumanitoba.ca"/>
  </r>
  <r>
    <n v="7673345"/>
    <s v="R"/>
    <s v="van Reenen"/>
    <s v="Melanie"/>
    <x v="11"/>
    <s v="Rehabilitation Sciences, College of "/>
    <x v="0"/>
    <n v="5000"/>
    <n v="573.62"/>
    <n v="201490"/>
    <d v="2014-09-01T00:00:00"/>
    <d v="2016-08-31T00:00:00"/>
    <n v="30000"/>
    <s v="umvanree@myumanitoba.ca"/>
  </r>
  <r>
    <n v="6840313"/>
    <s v="R"/>
    <s v="Verwey"/>
    <s v="Cameron"/>
    <x v="3"/>
    <s v="Engineering"/>
    <x v="0"/>
    <n v="15000"/>
    <m/>
    <n v="201510"/>
    <d v="2015-05-01T00:00:00"/>
    <d v="2017-04-30T00:00:00"/>
    <n v="30000"/>
    <s v="umverwec@cc.umanitoba.ca"/>
  </r>
  <r>
    <s v="7789121"/>
    <s v="R"/>
    <s v="Walia"/>
    <s v="Rajdeep Singh"/>
    <x v="38"/>
    <s v="Business, Asper School of "/>
    <x v="0"/>
    <n v="15000"/>
    <m/>
    <n v="201590"/>
    <d v="2015-09-01T00:00:00"/>
    <d v="2017-08-31T00:00:00"/>
    <n v="30000"/>
    <s v="waliar@cc.umanitoba.ca"/>
  </r>
  <r>
    <s v="7692691"/>
    <s v="R"/>
    <s v="Wall"/>
    <s v="Erns"/>
    <x v="41"/>
    <s v="Architecture (Faculty)"/>
    <x v="0"/>
    <n v="15000"/>
    <m/>
    <n v="201590"/>
    <d v="2015-09-01T00:00:00"/>
    <d v="2017-08-31T00:00:00"/>
    <n v="30000"/>
    <s v="walle@cc.umanitoba.ca"/>
  </r>
  <r>
    <n v="7765447"/>
    <s v="R"/>
    <s v="Younas"/>
    <s v="Sohail"/>
    <x v="33"/>
    <s v="Graduate Studies"/>
    <x v="0"/>
    <n v="5000"/>
    <n v="573.62"/>
    <n v="201490"/>
    <d v="2014-09-01T00:00:00"/>
    <d v="2016-08-31T00:00:00"/>
    <n v="30000"/>
    <s v="younass@myumanitoba.ca"/>
  </r>
  <r>
    <s v="7641646"/>
    <s v="R"/>
    <s v="Yurkowski"/>
    <s v="Steven"/>
    <x v="1"/>
    <s v="Arts"/>
    <x v="0"/>
    <n v="15000"/>
    <m/>
    <n v="201590"/>
    <d v="2015-09-01T00:00:00"/>
    <d v="2017-08-31T00:00:00"/>
    <n v="30000"/>
    <s v="UMYURKOW@MYUMANITOBA.CA"/>
  </r>
  <r>
    <n v="7783695"/>
    <s v="R"/>
    <s v="Zhanda"/>
    <s v="Justice"/>
    <x v="36"/>
    <s v="Agricultural &amp; Food Sciences      "/>
    <x v="0"/>
    <n v="15000"/>
    <m/>
    <n v="201550"/>
    <d v="2015-05-01T00:00:00"/>
    <d v="2017-04-30T00:00:00"/>
    <n v="30000"/>
    <s v="Justice.Zhanda@umanitoba.ca"/>
  </r>
  <r>
    <n v="7765805"/>
    <s v="R"/>
    <s v="Zhang"/>
    <s v="Ying"/>
    <x v="38"/>
    <s v="Business, Asper School of "/>
    <x v="0"/>
    <n v="5000"/>
    <n v="573.62"/>
    <n v="201490"/>
    <d v="2014-09-01T00:00:00"/>
    <d v="2016-08-31T00:00:00"/>
    <n v="28000"/>
    <s v="zhangy40@myumanitoba.ca"/>
  </r>
  <r>
    <n v="6847610"/>
    <s v="R"/>
    <s v="Zhang"/>
    <s v="Yu"/>
    <x v="25"/>
    <s v="Science"/>
    <x v="1"/>
    <n v="12000"/>
    <n v="286.89999999999998"/>
    <n v="201310"/>
    <d v="2014-09-01T00:00:00"/>
    <d v="2016-12-31T00:00:00"/>
    <n v="17500"/>
    <s v="umzha345@myumanitoba.ca"/>
  </r>
  <r>
    <s v="7700294"/>
    <s v="R"/>
    <s v="Ziolkowski"/>
    <s v="Kyle"/>
    <x v="12"/>
    <s v="Clayton H. Riddell Faculty of             "/>
    <x v="0"/>
    <n v="15000"/>
    <m/>
    <n v="201550"/>
    <d v="2015-09-01T00:00:00"/>
    <d v="2017-08-31T00:00:00"/>
    <n v="30000"/>
    <s v="ziolkowk@cc.umanitoba.c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47" firstHeaderRow="1" firstDataRow="2" firstDataCol="1"/>
  <pivotFields count="14">
    <pivotField showAll="0"/>
    <pivotField showAll="0"/>
    <pivotField showAll="0"/>
    <pivotField showAll="0"/>
    <pivotField axis="axisRow" showAll="0">
      <items count="43">
        <item x="7"/>
        <item x="35"/>
        <item x="17"/>
        <item x="22"/>
        <item x="14"/>
        <item x="33"/>
        <item x="31"/>
        <item x="26"/>
        <item x="10"/>
        <item x="6"/>
        <item x="2"/>
        <item x="20"/>
        <item x="4"/>
        <item x="18"/>
        <item x="12"/>
        <item x="40"/>
        <item x="29"/>
        <item x="16"/>
        <item x="9"/>
        <item x="5"/>
        <item x="41"/>
        <item x="27"/>
        <item x="24"/>
        <item x="37"/>
        <item x="23"/>
        <item x="38"/>
        <item x="8"/>
        <item x="3"/>
        <item x="28"/>
        <item x="30"/>
        <item x="15"/>
        <item x="19"/>
        <item x="32"/>
        <item x="11"/>
        <item x="0"/>
        <item x="39"/>
        <item x="34"/>
        <item x="13"/>
        <item x="21"/>
        <item x="1"/>
        <item x="36"/>
        <item x="25"/>
        <item t="default"/>
      </items>
    </pivotField>
    <pivotField showAll="0"/>
    <pivotField axis="axisCol" showAll="0">
      <items count="4">
        <item x="0"/>
        <item m="1" x="2"/>
        <item x="1"/>
        <item t="default"/>
      </items>
    </pivotField>
    <pivotField dataField="1" numFmtId="164"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6"/>
  </colFields>
  <colItems count="3">
    <i>
      <x/>
    </i>
    <i>
      <x v="2"/>
    </i>
    <i t="grand">
      <x/>
    </i>
  </colItems>
  <dataFields count="1">
    <dataField name="Sum of Fiscal Amount" fld="7" baseField="0" baseItem="0" numFmtId="164"/>
  </dataFields>
  <formats count="5">
    <format dxfId="16">
      <pivotArea outline="0" collapsedLevelsAreSubtotals="1" fieldPosition="0"/>
    </format>
    <format dxfId="15">
      <pivotArea field="6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6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62" firstHeaderRow="1" firstDataRow="2" firstDataCol="1"/>
  <pivotFields count="15">
    <pivotField showAll="0"/>
    <pivotField showAll="0"/>
    <pivotField showAll="0"/>
    <pivotField showAll="0"/>
    <pivotField axis="axisRow" showAll="0">
      <items count="80">
        <item sd="0" x="11"/>
        <item x="5"/>
        <item x="23"/>
        <item x="14"/>
        <item m="1" x="60"/>
        <item x="28"/>
        <item x="39"/>
        <item x="52"/>
        <item x="20"/>
        <item x="25"/>
        <item x="29"/>
        <item x="10"/>
        <item x="12"/>
        <item m="1" x="57"/>
        <item x="4"/>
        <item m="1" x="61"/>
        <item m="1" x="58"/>
        <item m="1" x="69"/>
        <item x="27"/>
        <item m="1" x="74"/>
        <item x="48"/>
        <item m="1" x="72"/>
        <item m="1" x="63"/>
        <item m="1" x="62"/>
        <item x="8"/>
        <item x="35"/>
        <item x="46"/>
        <item m="1" x="65"/>
        <item m="1" x="66"/>
        <item x="51"/>
        <item m="1" x="78"/>
        <item m="1" x="77"/>
        <item x="19"/>
        <item x="6"/>
        <item m="1" x="64"/>
        <item x="53"/>
        <item x="30"/>
        <item x="50"/>
        <item m="1" x="67"/>
        <item x="1"/>
        <item m="1" x="73"/>
        <item x="42"/>
        <item x="22"/>
        <item x="16"/>
        <item m="1" x="59"/>
        <item x="0"/>
        <item x="37"/>
        <item m="1" x="68"/>
        <item m="1" x="71"/>
        <item x="38"/>
        <item m="1" x="76"/>
        <item m="1" x="75"/>
        <item m="1" x="70"/>
        <item x="24"/>
        <item x="54"/>
        <item x="45"/>
        <item x="32"/>
        <item x="47"/>
        <item x="56"/>
        <item x="2"/>
        <item x="26"/>
        <item x="31"/>
        <item x="34"/>
        <item x="41"/>
        <item x="18"/>
        <item x="13"/>
        <item x="3"/>
        <item x="7"/>
        <item x="9"/>
        <item x="15"/>
        <item x="17"/>
        <item x="21"/>
        <item x="33"/>
        <item x="36"/>
        <item x="40"/>
        <item x="43"/>
        <item x="44"/>
        <item x="49"/>
        <item x="55"/>
        <item t="default"/>
      </items>
    </pivotField>
    <pivotField showAll="0"/>
    <pivotField axis="axisCol" showAll="0">
      <items count="4">
        <item x="1"/>
        <item x="2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8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8"/>
    </i>
    <i>
      <x v="20"/>
    </i>
    <i>
      <x v="24"/>
    </i>
    <i>
      <x v="25"/>
    </i>
    <i>
      <x v="26"/>
    </i>
    <i>
      <x v="29"/>
    </i>
    <i>
      <x v="32"/>
    </i>
    <i>
      <x v="33"/>
    </i>
    <i>
      <x v="35"/>
    </i>
    <i>
      <x v="36"/>
    </i>
    <i>
      <x v="37"/>
    </i>
    <i>
      <x v="39"/>
    </i>
    <i>
      <x v="41"/>
    </i>
    <i>
      <x v="42"/>
    </i>
    <i>
      <x v="43"/>
    </i>
    <i>
      <x v="45"/>
    </i>
    <i>
      <x v="46"/>
    </i>
    <i>
      <x v="49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Annual Amount" fld="7" baseField="5" baseItem="0" numFmtId="164"/>
  </dataFields>
  <formats count="2">
    <format dxfId="11">
      <pivotArea outline="0" collapsedLevelsAreSubtotals="1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47" firstHeaderRow="1" firstDataRow="2" firstDataCol="1"/>
  <pivotFields count="14">
    <pivotField showAll="0"/>
    <pivotField showAll="0"/>
    <pivotField showAll="0"/>
    <pivotField showAll="0"/>
    <pivotField axis="axisRow" showAll="0">
      <items count="43">
        <item x="7"/>
        <item x="35"/>
        <item x="17"/>
        <item x="22"/>
        <item x="14"/>
        <item x="33"/>
        <item x="31"/>
        <item x="26"/>
        <item x="10"/>
        <item x="6"/>
        <item x="2"/>
        <item x="20"/>
        <item x="4"/>
        <item x="18"/>
        <item x="12"/>
        <item x="40"/>
        <item x="29"/>
        <item x="16"/>
        <item x="9"/>
        <item x="5"/>
        <item x="41"/>
        <item x="27"/>
        <item x="24"/>
        <item x="37"/>
        <item x="23"/>
        <item x="38"/>
        <item x="8"/>
        <item x="3"/>
        <item x="28"/>
        <item x="30"/>
        <item x="15"/>
        <item x="19"/>
        <item x="32"/>
        <item x="11"/>
        <item x="0"/>
        <item x="39"/>
        <item x="34"/>
        <item x="13"/>
        <item x="21"/>
        <item x="1"/>
        <item x="36"/>
        <item x="25"/>
        <item t="default"/>
      </items>
    </pivotField>
    <pivotField showAll="0"/>
    <pivotField axis="axisCol" showAll="0">
      <items count="4">
        <item x="0"/>
        <item m="1" x="2"/>
        <item x="1"/>
        <item t="default"/>
      </items>
    </pivotField>
    <pivotField dataField="1" numFmtId="164"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6"/>
  </colFields>
  <colItems count="3">
    <i>
      <x/>
    </i>
    <i>
      <x v="2"/>
    </i>
    <i t="grand">
      <x/>
    </i>
  </colItems>
  <dataFields count="1">
    <dataField name="Sum of Fiscal Amount" fld="7" baseField="0" baseItem="0" numFmtId="164"/>
  </dataFields>
  <formats count="5">
    <format dxfId="9">
      <pivotArea outline="0" collapsedLevelsAreSubtotals="1" fieldPosition="0"/>
    </format>
    <format dxfId="8">
      <pivotArea field="6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6" count="0"/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61" firstHeaderRow="1" firstDataRow="2" firstDataCol="1"/>
  <pivotFields count="15">
    <pivotField showAll="0"/>
    <pivotField showAll="0"/>
    <pivotField showAll="0"/>
    <pivotField showAll="0"/>
    <pivotField axis="axisRow" showAll="0">
      <items count="58">
        <item x="12"/>
        <item x="48"/>
        <item x="24"/>
        <item x="15"/>
        <item x="41"/>
        <item x="30"/>
        <item x="40"/>
        <item x="53"/>
        <item x="21"/>
        <item x="27"/>
        <item x="31"/>
        <item x="11"/>
        <item x="13"/>
        <item x="35"/>
        <item x="4"/>
        <item x="2"/>
        <item x="8"/>
        <item x="29"/>
        <item x="18"/>
        <item x="51"/>
        <item m="1" x="56"/>
        <item x="14"/>
        <item x="50"/>
        <item x="22"/>
        <item x="9"/>
        <item x="36"/>
        <item x="47"/>
        <item x="34"/>
        <item x="44"/>
        <item x="52"/>
        <item x="5"/>
        <item x="28"/>
        <item x="20"/>
        <item x="6"/>
        <item x="16"/>
        <item x="54"/>
        <item x="32"/>
        <item x="42"/>
        <item x="10"/>
        <item x="1"/>
        <item x="37"/>
        <item x="43"/>
        <item x="23"/>
        <item x="17"/>
        <item x="55"/>
        <item x="0"/>
        <item x="38"/>
        <item x="3"/>
        <item x="7"/>
        <item x="39"/>
        <item x="19"/>
        <item x="45"/>
        <item x="25"/>
        <item x="26"/>
        <item x="46"/>
        <item x="33"/>
        <item x="49"/>
        <item t="default"/>
      </items>
    </pivotField>
    <pivotField showAll="0"/>
    <pivotField axis="axisCol" showAll="0">
      <items count="4">
        <item x="1"/>
        <item x="2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Annual Amount" fld="7" baseField="4" baseItem="0" numFmtId="164"/>
  </dataFields>
  <formats count="5">
    <format dxfId="4">
      <pivotArea outline="0" collapsedLevelsAreSubtotals="1" fieldPosition="0"/>
    </format>
    <format dxfId="3">
      <pivotArea field="6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29"/>
  <sheetViews>
    <sheetView topLeftCell="G1" zoomScaleNormal="100" workbookViewId="0">
      <selection activeCell="G1" sqref="A1:XFD1048576"/>
    </sheetView>
  </sheetViews>
  <sheetFormatPr defaultRowHeight="12" x14ac:dyDescent="0.25"/>
  <cols>
    <col min="1" max="1" width="22.88671875" style="5" customWidth="1"/>
    <col min="2" max="2" width="24.33203125" style="3" customWidth="1"/>
    <col min="3" max="3" width="7.5546875" style="1" bestFit="1" customWidth="1"/>
    <col min="4" max="4" width="6.21875" style="1" bestFit="1" customWidth="1"/>
    <col min="5" max="5" width="6.21875" style="14" bestFit="1" customWidth="1"/>
    <col min="6" max="6" width="6.33203125" style="1" bestFit="1" customWidth="1"/>
    <col min="7" max="7" width="5.77734375" style="1" bestFit="1" customWidth="1"/>
    <col min="8" max="8" width="5.44140625" style="83" bestFit="1" customWidth="1"/>
    <col min="9" max="9" width="4.33203125" style="10" bestFit="1" customWidth="1"/>
    <col min="10" max="10" width="7.5546875" style="1" bestFit="1" customWidth="1"/>
    <col min="11" max="11" width="6.21875" style="81" bestFit="1" customWidth="1"/>
    <col min="12" max="12" width="6.21875" style="78" bestFit="1" customWidth="1"/>
    <col min="13" max="13" width="6.33203125" style="81" bestFit="1" customWidth="1"/>
    <col min="14" max="14" width="5.77734375" style="81" bestFit="1" customWidth="1"/>
    <col min="15" max="15" width="5.44140625" style="14" bestFit="1" customWidth="1"/>
    <col min="16" max="16" width="5.109375" style="10" bestFit="1" customWidth="1"/>
    <col min="17" max="17" width="6" style="12" bestFit="1" customWidth="1"/>
    <col min="18" max="18" width="9.88671875" style="12" bestFit="1" customWidth="1"/>
    <col min="19" max="19" width="9.88671875" style="2" bestFit="1" customWidth="1"/>
    <col min="20" max="20" width="10.44140625" style="2" bestFit="1" customWidth="1"/>
    <col min="21" max="21" width="5.21875" style="12" customWidth="1"/>
    <col min="22" max="22" width="7.77734375" style="135" bestFit="1" customWidth="1"/>
    <col min="23" max="23" width="5.6640625" style="137" bestFit="1" customWidth="1"/>
    <col min="24" max="24" width="7.33203125" style="2" bestFit="1" customWidth="1"/>
    <col min="25" max="25" width="10" style="2" bestFit="1" customWidth="1"/>
    <col min="26" max="27" width="9.88671875" style="12" bestFit="1" customWidth="1"/>
    <col min="28" max="28" width="8.88671875" style="1"/>
    <col min="29" max="29" width="8.88671875" style="141"/>
    <col min="30" max="30" width="8.88671875" style="142"/>
    <col min="31" max="16384" width="8.88671875" style="3"/>
  </cols>
  <sheetData>
    <row r="1" spans="1:30" s="5" customFormat="1" x14ac:dyDescent="0.25">
      <c r="A1" s="5" t="s">
        <v>0</v>
      </c>
      <c r="C1" s="4"/>
      <c r="D1" s="4"/>
      <c r="E1" s="14"/>
      <c r="F1" s="4"/>
      <c r="G1" s="4"/>
      <c r="H1" s="83"/>
      <c r="I1" s="10"/>
      <c r="J1" s="4"/>
      <c r="K1" s="77"/>
      <c r="L1" s="78"/>
      <c r="M1" s="77"/>
      <c r="N1" s="77"/>
      <c r="O1" s="14"/>
      <c r="P1" s="10"/>
      <c r="Q1" s="14"/>
      <c r="R1" s="12" t="s">
        <v>232</v>
      </c>
      <c r="S1" s="8"/>
      <c r="T1" s="76">
        <v>0.05</v>
      </c>
      <c r="U1" s="127"/>
      <c r="V1" s="129"/>
      <c r="W1" s="130"/>
      <c r="X1" s="76"/>
      <c r="Y1" s="8"/>
      <c r="Z1" s="14"/>
      <c r="AA1" s="14"/>
      <c r="AB1" s="4"/>
      <c r="AC1" s="138"/>
      <c r="AD1" s="139"/>
    </row>
    <row r="2" spans="1:30" s="5" customFormat="1" x14ac:dyDescent="0.25">
      <c r="A2" s="5" t="s">
        <v>88</v>
      </c>
      <c r="C2" s="4"/>
      <c r="D2" s="4"/>
      <c r="E2" s="14"/>
      <c r="F2" s="4"/>
      <c r="G2" s="4"/>
      <c r="H2" s="83"/>
      <c r="I2" s="10"/>
      <c r="J2" s="4"/>
      <c r="K2" s="77"/>
      <c r="L2" s="78"/>
      <c r="M2" s="77"/>
      <c r="N2" s="77"/>
      <c r="O2" s="14"/>
      <c r="P2" s="10"/>
      <c r="Q2" s="14"/>
      <c r="R2" s="14"/>
      <c r="S2" s="8"/>
      <c r="T2" s="8"/>
      <c r="U2" s="14"/>
      <c r="V2" s="131"/>
      <c r="W2" s="132"/>
      <c r="X2" s="8"/>
      <c r="Y2" s="8"/>
      <c r="Z2" s="14"/>
      <c r="AA2" s="14"/>
      <c r="AB2" s="4"/>
      <c r="AC2" s="138"/>
      <c r="AD2" s="139"/>
    </row>
    <row r="4" spans="1:30" s="5" customFormat="1" ht="14.4" customHeight="1" x14ac:dyDescent="0.25">
      <c r="C4" s="168" t="s">
        <v>1</v>
      </c>
      <c r="D4" s="168"/>
      <c r="E4" s="168"/>
      <c r="F4" s="168"/>
      <c r="G4" s="168"/>
      <c r="H4" s="168"/>
      <c r="I4" s="169"/>
      <c r="J4" s="168" t="s">
        <v>104</v>
      </c>
      <c r="K4" s="168"/>
      <c r="L4" s="168"/>
      <c r="M4" s="168"/>
      <c r="N4" s="168"/>
      <c r="O4" s="168"/>
      <c r="P4" s="169"/>
      <c r="Q4" s="170" t="s">
        <v>240</v>
      </c>
      <c r="R4" s="170"/>
      <c r="S4" s="170"/>
      <c r="T4" s="170"/>
      <c r="U4" s="170"/>
      <c r="V4" s="170"/>
      <c r="W4" s="170"/>
      <c r="X4" s="167" t="s">
        <v>241</v>
      </c>
      <c r="Y4" s="167"/>
      <c r="Z4" s="167"/>
      <c r="AA4" s="167"/>
      <c r="AB4" s="167"/>
      <c r="AC4" s="167"/>
      <c r="AD4" s="167"/>
    </row>
    <row r="5" spans="1:30" s="5" customFormat="1" ht="36.6" thickBot="1" x14ac:dyDescent="0.3">
      <c r="A5" s="7" t="s">
        <v>2</v>
      </c>
      <c r="B5" s="7" t="s">
        <v>3</v>
      </c>
      <c r="C5" s="9" t="s">
        <v>5</v>
      </c>
      <c r="D5" s="9" t="s">
        <v>98</v>
      </c>
      <c r="E5" s="6" t="s">
        <v>99</v>
      </c>
      <c r="F5" s="9" t="s">
        <v>100</v>
      </c>
      <c r="G5" s="9" t="s">
        <v>101</v>
      </c>
      <c r="H5" s="9" t="s">
        <v>102</v>
      </c>
      <c r="I5" s="13" t="s">
        <v>4</v>
      </c>
      <c r="J5" s="9" t="s">
        <v>5</v>
      </c>
      <c r="K5" s="79" t="s">
        <v>98</v>
      </c>
      <c r="L5" s="80" t="s">
        <v>99</v>
      </c>
      <c r="M5" s="79" t="s">
        <v>100</v>
      </c>
      <c r="N5" s="79" t="s">
        <v>101</v>
      </c>
      <c r="O5" s="6" t="s">
        <v>102</v>
      </c>
      <c r="P5" s="13" t="s">
        <v>4</v>
      </c>
      <c r="Q5" s="6" t="s">
        <v>235</v>
      </c>
      <c r="R5" s="11" t="s">
        <v>6</v>
      </c>
      <c r="S5" s="11" t="s">
        <v>7</v>
      </c>
      <c r="T5" s="15" t="s">
        <v>103</v>
      </c>
      <c r="U5" s="73" t="s">
        <v>8</v>
      </c>
      <c r="V5" s="133" t="s">
        <v>234</v>
      </c>
      <c r="W5" s="134" t="s">
        <v>2</v>
      </c>
      <c r="X5" s="6" t="s">
        <v>242</v>
      </c>
      <c r="Y5" s="11" t="s">
        <v>6</v>
      </c>
      <c r="Z5" s="11" t="s">
        <v>7</v>
      </c>
      <c r="AA5" s="15" t="s">
        <v>103</v>
      </c>
      <c r="AB5" s="73" t="s">
        <v>8</v>
      </c>
      <c r="AC5" s="140" t="s">
        <v>234</v>
      </c>
      <c r="AD5" s="134" t="s">
        <v>2</v>
      </c>
    </row>
    <row r="6" spans="1:30" x14ac:dyDescent="0.25">
      <c r="R6" s="2"/>
      <c r="W6" s="136"/>
      <c r="X6" s="12"/>
      <c r="Z6" s="2"/>
      <c r="AA6" s="2"/>
      <c r="AB6" s="12"/>
      <c r="AD6" s="136"/>
    </row>
    <row r="7" spans="1:30" ht="14.4" x14ac:dyDescent="0.3">
      <c r="A7" s="139" t="s">
        <v>9</v>
      </c>
      <c r="B7" s="3" t="s">
        <v>10</v>
      </c>
      <c r="C7" s="86">
        <v>16</v>
      </c>
      <c r="D7" s="86">
        <v>7</v>
      </c>
      <c r="E7" s="121">
        <v>15.65</v>
      </c>
      <c r="F7" s="85"/>
      <c r="G7" s="85"/>
      <c r="H7" s="122"/>
      <c r="I7" s="123">
        <v>15.65</v>
      </c>
      <c r="J7" s="1">
        <f>((VLOOKUP($B7,'OIA Masters table'!$A$12:$Q$203,2,FALSE)+(VLOOKUP($B7,'OIA Masters table'!$A$12:$Q$203,4,FALSE))))</f>
        <v>19</v>
      </c>
      <c r="K7" s="81">
        <f>(VLOOKUP(Budget!$B7,'OIA Masters table'!A11:Q203,5,FALSE)+(VLOOKUP(Budget!$B7,'OIA Masters table'!A11:Q203,6,FALSE)))</f>
        <v>8</v>
      </c>
      <c r="L7" s="78">
        <f t="shared" ref="L7:L15" si="0">J7-(K7*$T$1)</f>
        <v>18.600000000000001</v>
      </c>
      <c r="P7" s="10">
        <f>L7+O7</f>
        <v>18.600000000000001</v>
      </c>
      <c r="Q7" s="12">
        <f>AVERAGE(E7,L7)</f>
        <v>17.125</v>
      </c>
      <c r="R7" s="2">
        <f t="shared" ref="R7:R15" si="1">Q7*$B$129</f>
        <v>37943.031066516858</v>
      </c>
      <c r="S7" s="2">
        <f>VLOOKUP(B7,'MGS Renewals'!$A$3:$D$46,2,FALSE)</f>
        <v>20000</v>
      </c>
      <c r="T7" s="2">
        <f>R7-S7</f>
        <v>17943.031066516858</v>
      </c>
      <c r="U7" s="12">
        <v>1.4354424853213501</v>
      </c>
      <c r="V7" s="135">
        <f t="shared" ref="V7:V15" si="2">ROUNDDOWN(U7,0)</f>
        <v>1</v>
      </c>
      <c r="W7" s="136"/>
      <c r="X7" s="12"/>
      <c r="Z7" s="2"/>
      <c r="AA7" s="2"/>
      <c r="AB7" s="12">
        <v>0</v>
      </c>
      <c r="AC7" s="141">
        <f>ROUNDDOWN(AB7,0)</f>
        <v>0</v>
      </c>
      <c r="AD7" s="136"/>
    </row>
    <row r="8" spans="1:30" x14ac:dyDescent="0.25">
      <c r="B8" s="3" t="s">
        <v>11</v>
      </c>
      <c r="C8" s="86">
        <v>8</v>
      </c>
      <c r="D8" s="86">
        <v>6</v>
      </c>
      <c r="E8" s="121">
        <v>7.7</v>
      </c>
      <c r="F8" s="86">
        <v>13</v>
      </c>
      <c r="G8" s="86">
        <v>6</v>
      </c>
      <c r="H8" s="121">
        <v>12.7</v>
      </c>
      <c r="I8" s="123">
        <v>20.399999999999999</v>
      </c>
      <c r="J8" s="1">
        <f>((VLOOKUP($B8,'OIA Masters table'!$A$12:$Q$203,2,FALSE)+(VLOOKUP($B8,'OIA Masters table'!$A$12:$Q$203,4,FALSE))))</f>
        <v>9</v>
      </c>
      <c r="K8" s="81">
        <f>(VLOOKUP(Budget!$B8,'OIA Masters table'!A12:Q204,5,FALSE)+(VLOOKUP(Budget!$B8,'OIA Masters table'!A12:Q204,6,FALSE)))</f>
        <v>7</v>
      </c>
      <c r="L8" s="78">
        <f t="shared" si="0"/>
        <v>8.65</v>
      </c>
      <c r="M8" s="81">
        <f>(VLOOKUP($B8,'OIA PHD_table'!$A$12:$R$129,2,FALSE)+(VLOOKUP($B8,'OIA PHD_table'!$A$12:$R$129,4,FALSE)))</f>
        <v>12</v>
      </c>
      <c r="N8" s="81">
        <f>(VLOOKUP($B8,'OIA PHD_table'!$A$12:$R$129,5,FALSE)+(VLOOKUP($B8,'OIA PHD_table'!$A$12:$R$129,6,FALSE)))</f>
        <v>5</v>
      </c>
      <c r="O8" s="14">
        <f>M8-(N8*$T$1)</f>
        <v>11.75</v>
      </c>
      <c r="P8" s="10">
        <f t="shared" ref="P8:P15" si="3">L8+O8</f>
        <v>20.399999999999999</v>
      </c>
      <c r="Q8" s="12">
        <f t="shared" ref="Q8:Q70" si="4">AVERAGE(E8,L8)</f>
        <v>8.1750000000000007</v>
      </c>
      <c r="R8" s="2">
        <f t="shared" si="1"/>
        <v>18112.950596716808</v>
      </c>
      <c r="S8" s="2">
        <f>VLOOKUP(B8,'MGS Renewals'!$A$3:$D$46,2,FALSE)</f>
        <v>15000</v>
      </c>
      <c r="T8" s="2">
        <f t="shared" ref="T8:T15" si="5">R8-S8</f>
        <v>3112.9505967168079</v>
      </c>
      <c r="U8" s="12">
        <v>0.249036047737345</v>
      </c>
      <c r="V8" s="135">
        <f t="shared" si="2"/>
        <v>0</v>
      </c>
      <c r="W8" s="136"/>
      <c r="X8" s="12">
        <f>AVERAGE(H8,O8)</f>
        <v>12.225</v>
      </c>
      <c r="Y8" s="2">
        <f>X8*$B$120</f>
        <v>65378.038327985574</v>
      </c>
      <c r="Z8" s="2">
        <f>VLOOKUP(B8,'UMGF Renewals'!A$4:C$61,3,FALSE)</f>
        <v>102000</v>
      </c>
      <c r="AA8" s="2">
        <f>Y8-Z8</f>
        <v>-36621.961672014426</v>
      </c>
      <c r="AB8" s="12">
        <v>-2.4414641114676301</v>
      </c>
      <c r="AC8" s="141">
        <f t="shared" ref="AC8:AC15" si="6">ROUNDDOWN(AB8,0)</f>
        <v>-2</v>
      </c>
      <c r="AD8" s="136"/>
    </row>
    <row r="9" spans="1:30" x14ac:dyDescent="0.25">
      <c r="B9" s="3" t="s">
        <v>12</v>
      </c>
      <c r="C9" s="86">
        <v>20</v>
      </c>
      <c r="D9" s="86">
        <v>5</v>
      </c>
      <c r="E9" s="121">
        <v>19.75</v>
      </c>
      <c r="F9" s="86">
        <v>15</v>
      </c>
      <c r="G9" s="86">
        <v>9</v>
      </c>
      <c r="H9" s="121">
        <v>14.55</v>
      </c>
      <c r="I9" s="123">
        <v>34.299999999999997</v>
      </c>
      <c r="J9" s="1">
        <f>((VLOOKUP($B9,'OIA Masters table'!$A$12:$Q$203,2,FALSE)+(VLOOKUP($B9,'OIA Masters table'!$A$12:$Q$203,4,FALSE))))</f>
        <v>8</v>
      </c>
      <c r="K9" s="81">
        <f>(VLOOKUP(Budget!$B9,'OIA Masters table'!A13:Q205,5,FALSE)+(VLOOKUP(Budget!$B9,'OIA Masters table'!A13:Q205,6,FALSE)))</f>
        <v>1</v>
      </c>
      <c r="L9" s="78">
        <f t="shared" si="0"/>
        <v>7.95</v>
      </c>
      <c r="M9" s="81">
        <f>(VLOOKUP($B9,'OIA PHD_table'!$A$12:$R$129,2,FALSE)+(VLOOKUP($B9,'OIA PHD_table'!$A$12:$R$129,4,FALSE)))</f>
        <v>13</v>
      </c>
      <c r="N9" s="81">
        <f>(VLOOKUP($B9,'OIA PHD_table'!$A$12:$R$129,5,FALSE)+(VLOOKUP($B9,'OIA PHD_table'!$A$12:$R$129,6,FALSE)))</f>
        <v>13</v>
      </c>
      <c r="O9" s="14">
        <f>M9-(N9*$T$1)</f>
        <v>12.35</v>
      </c>
      <c r="P9" s="10">
        <f t="shared" si="3"/>
        <v>20.3</v>
      </c>
      <c r="Q9" s="12">
        <f t="shared" si="4"/>
        <v>13.85</v>
      </c>
      <c r="R9" s="2">
        <f t="shared" si="1"/>
        <v>30686.772570584439</v>
      </c>
      <c r="S9" s="2">
        <f>VLOOKUP(B9,'MGS Renewals'!$A$3:$D$46,2,FALSE)</f>
        <v>35000</v>
      </c>
      <c r="T9" s="2">
        <f t="shared" si="5"/>
        <v>-4313.2274294155613</v>
      </c>
      <c r="U9" s="12">
        <v>-0.34505819435324497</v>
      </c>
      <c r="V9" s="135">
        <f t="shared" si="2"/>
        <v>0</v>
      </c>
      <c r="W9" s="136"/>
      <c r="X9" s="12">
        <f t="shared" ref="X9:X14" si="7">AVERAGE(H9,O9)</f>
        <v>13.45</v>
      </c>
      <c r="Y9" s="2">
        <f>X9*$B$120</f>
        <v>71929.211902773488</v>
      </c>
      <c r="Z9" s="2">
        <f>VLOOKUP(B9,'UMGF Renewals'!A$4:C$61,3,FALSE)</f>
        <v>36000</v>
      </c>
      <c r="AA9" s="2">
        <f t="shared" ref="AA9:AA14" si="8">Y9-Z9</f>
        <v>35929.211902773488</v>
      </c>
      <c r="AB9" s="12">
        <v>2.3952807935182299</v>
      </c>
      <c r="AC9" s="141">
        <f t="shared" si="6"/>
        <v>2</v>
      </c>
      <c r="AD9" s="136"/>
    </row>
    <row r="10" spans="1:30" x14ac:dyDescent="0.25">
      <c r="B10" s="3" t="s">
        <v>13</v>
      </c>
      <c r="C10" s="86">
        <v>4</v>
      </c>
      <c r="D10" s="86">
        <v>2</v>
      </c>
      <c r="E10" s="121">
        <v>3.9</v>
      </c>
      <c r="F10" s="86">
        <v>5</v>
      </c>
      <c r="G10" s="86">
        <v>2</v>
      </c>
      <c r="H10" s="121">
        <v>4.9000000000000004</v>
      </c>
      <c r="I10" s="123">
        <v>8.8000000000000007</v>
      </c>
      <c r="J10" s="1">
        <f>((VLOOKUP($B10,'OIA Masters table'!$A$12:$Q$203,2,FALSE)+(VLOOKUP($B10,'OIA Masters table'!$A$12:$Q$203,4,FALSE))))</f>
        <v>2</v>
      </c>
      <c r="K10" s="81">
        <f>(VLOOKUP(Budget!$B10,'OIA Masters table'!A14:Q206,5,FALSE)+(VLOOKUP(Budget!$B10,'OIA Masters table'!A14:Q206,6,FALSE)))</f>
        <v>4</v>
      </c>
      <c r="L10" s="78">
        <f t="shared" si="0"/>
        <v>1.8</v>
      </c>
      <c r="M10" s="81">
        <f>(VLOOKUP($B10,'OIA PHD_table'!$A$12:$R$129,2,FALSE)+(VLOOKUP($B10,'OIA PHD_table'!$A$12:$R$129,4,FALSE)))</f>
        <v>5</v>
      </c>
      <c r="N10" s="81">
        <f>(VLOOKUP($B10,'OIA PHD_table'!$A$12:$R$129,5,FALSE)+(VLOOKUP($B10,'OIA PHD_table'!$A$12:$R$129,6,FALSE)))</f>
        <v>1</v>
      </c>
      <c r="O10" s="14">
        <f>M10-(N10*$T$1)</f>
        <v>4.95</v>
      </c>
      <c r="P10" s="10">
        <f t="shared" si="3"/>
        <v>6.75</v>
      </c>
      <c r="Q10" s="12">
        <f t="shared" si="4"/>
        <v>2.85</v>
      </c>
      <c r="R10" s="2">
        <f t="shared" si="1"/>
        <v>6314.6066300480616</v>
      </c>
      <c r="T10" s="2">
        <f t="shared" si="5"/>
        <v>6314.6066300480616</v>
      </c>
      <c r="U10" s="12">
        <v>0.50516853040384502</v>
      </c>
      <c r="V10" s="135">
        <f t="shared" si="2"/>
        <v>0</v>
      </c>
      <c r="W10" s="136"/>
      <c r="X10" s="12">
        <f t="shared" si="7"/>
        <v>4.9250000000000007</v>
      </c>
      <c r="Y10" s="2">
        <f>X10*$B$120</f>
        <v>26338.391719045318</v>
      </c>
      <c r="Z10" s="2">
        <f>VLOOKUP(B10,'UMGF Renewals'!A$4:C$61,3,FALSE)</f>
        <v>36000</v>
      </c>
      <c r="AA10" s="2">
        <f t="shared" si="8"/>
        <v>-9661.6082809546824</v>
      </c>
      <c r="AB10" s="12">
        <v>-0.64410721873031196</v>
      </c>
      <c r="AC10" s="141">
        <f t="shared" si="6"/>
        <v>0</v>
      </c>
      <c r="AD10" s="136"/>
    </row>
    <row r="11" spans="1:30" x14ac:dyDescent="0.25">
      <c r="B11" s="56" t="s">
        <v>14</v>
      </c>
      <c r="C11" s="87">
        <v>4</v>
      </c>
      <c r="D11" s="87">
        <v>6</v>
      </c>
      <c r="E11" s="121">
        <v>3.7</v>
      </c>
      <c r="F11" s="87">
        <v>10</v>
      </c>
      <c r="G11" s="87">
        <v>4</v>
      </c>
      <c r="H11" s="121">
        <v>9.8000000000000007</v>
      </c>
      <c r="I11" s="123">
        <v>13.5</v>
      </c>
      <c r="J11" s="1">
        <f>((VLOOKUP($B11,'OIA Masters table'!$A$12:$Q$203,2,FALSE)+(VLOOKUP($B11,'OIA Masters table'!$A$12:$Q$203,4,FALSE))))</f>
        <v>8</v>
      </c>
      <c r="K11" s="1">
        <f>((VLOOKUP(C11,'OIA Masters table'!B92:R281,2,FALSE)+(VLOOKUP(C11,'OIA Masters table'!B92:R281,4,FALSE))))</f>
        <v>1</v>
      </c>
      <c r="L11" s="78">
        <f t="shared" si="0"/>
        <v>7.95</v>
      </c>
      <c r="M11" s="81">
        <f>(VLOOKUP($B11,'OIA PHD_table'!$A$12:$R$129,2,FALSE)+(VLOOKUP($B11,'OIA PHD_table'!$A$12:$R$129,4,FALSE)))</f>
        <v>5</v>
      </c>
      <c r="N11" s="81">
        <f>(VLOOKUP($B11,'OIA PHD_table'!$A$12:$R$129,5,FALSE)+(VLOOKUP($B11,'OIA PHD_table'!$A$12:$R$129,6,FALSE)))</f>
        <v>5</v>
      </c>
      <c r="O11" s="83">
        <f>((VLOOKUP(G11,'OIA Masters table'!F92:V281,2,FALSE)+(VLOOKUP(G11,'OIA Masters table'!F92:V281,4,FALSE))))</f>
        <v>12</v>
      </c>
      <c r="P11" s="10">
        <f t="shared" si="3"/>
        <v>19.95</v>
      </c>
      <c r="Q11" s="12">
        <f t="shared" si="4"/>
        <v>5.8250000000000002</v>
      </c>
      <c r="R11" s="2">
        <f t="shared" si="1"/>
        <v>12906.169691238581</v>
      </c>
      <c r="S11" s="2">
        <f>VLOOKUP(B11,'MGS Renewals'!$A$3:$D$46,2,FALSE)</f>
        <v>15000</v>
      </c>
      <c r="T11" s="2">
        <f t="shared" si="5"/>
        <v>-2093.8303087614186</v>
      </c>
      <c r="U11" s="12">
        <v>-0.16750642470091301</v>
      </c>
      <c r="V11" s="135">
        <f t="shared" si="2"/>
        <v>0</v>
      </c>
      <c r="W11" s="136"/>
      <c r="X11" s="12">
        <f t="shared" si="7"/>
        <v>10.9</v>
      </c>
      <c r="Z11" s="2"/>
      <c r="AA11" s="2"/>
      <c r="AB11" s="12">
        <v>0</v>
      </c>
      <c r="AC11" s="141">
        <f t="shared" si="6"/>
        <v>0</v>
      </c>
      <c r="AD11" s="136"/>
    </row>
    <row r="12" spans="1:30" x14ac:dyDescent="0.25">
      <c r="B12" s="3" t="s">
        <v>89</v>
      </c>
      <c r="C12" s="87">
        <v>34</v>
      </c>
      <c r="D12" s="87">
        <v>5</v>
      </c>
      <c r="E12" s="121">
        <v>33.75</v>
      </c>
      <c r="F12" s="87">
        <v>16</v>
      </c>
      <c r="G12" s="87">
        <v>6</v>
      </c>
      <c r="H12" s="121">
        <v>15.7</v>
      </c>
      <c r="I12" s="123">
        <v>49.45</v>
      </c>
      <c r="J12" s="1">
        <f>((VLOOKUP($B12,'OIA Masters table'!$A$12:$Q$203,2,FALSE)+(VLOOKUP($B12,'OIA Masters table'!$A$12:$Q$203,4,FALSE))))</f>
        <v>32</v>
      </c>
      <c r="K12" s="81">
        <f>(VLOOKUP(Budget!$B12,'OIA Masters table'!A16:Q208,5,FALSE)+(VLOOKUP(Budget!$B12,'OIA Masters table'!A16:Q208,6,FALSE)))</f>
        <v>10</v>
      </c>
      <c r="L12" s="78">
        <f t="shared" si="0"/>
        <v>31.5</v>
      </c>
      <c r="M12" s="81">
        <f>(VLOOKUP($B12,'OIA PHD_table'!$A$12:$R$129,2,FALSE)+(VLOOKUP($B12,'OIA PHD_table'!$A$12:$R$129,4,FALSE)))</f>
        <v>16</v>
      </c>
      <c r="N12" s="81">
        <f>(VLOOKUP($B12,'OIA PHD_table'!$A$12:$R$129,5,FALSE)+(VLOOKUP($B12,'OIA PHD_table'!$A$12:$R$129,6,FALSE)))</f>
        <v>5</v>
      </c>
      <c r="O12" s="14">
        <f>M12-(N12*$T$1)</f>
        <v>15.75</v>
      </c>
      <c r="P12" s="10">
        <f t="shared" si="3"/>
        <v>47.25</v>
      </c>
      <c r="Q12" s="12">
        <f t="shared" si="4"/>
        <v>32.625</v>
      </c>
      <c r="R12" s="2">
        <f t="shared" si="1"/>
        <v>72285.628528181755</v>
      </c>
      <c r="S12" s="2">
        <f>VLOOKUP(B12,'MGS Renewals'!$A$3:$D$46,2,FALSE)</f>
        <v>30000</v>
      </c>
      <c r="T12" s="2">
        <f t="shared" si="5"/>
        <v>42285.628528181755</v>
      </c>
      <c r="U12" s="12">
        <v>3.3828502822545401</v>
      </c>
      <c r="V12" s="135">
        <f t="shared" si="2"/>
        <v>3</v>
      </c>
      <c r="W12" s="136"/>
      <c r="X12" s="12">
        <f t="shared" si="7"/>
        <v>15.725</v>
      </c>
      <c r="Y12" s="2">
        <f>X12*$B$120</f>
        <v>84095.677113093916</v>
      </c>
      <c r="Z12" s="2">
        <f>VLOOKUP(B12,'UMGF Renewals'!A$4:C$61,3,FALSE)</f>
        <v>36000</v>
      </c>
      <c r="AA12" s="2">
        <f t="shared" si="8"/>
        <v>48095.677113093916</v>
      </c>
      <c r="AB12" s="12">
        <v>3.20637847420626</v>
      </c>
      <c r="AC12" s="141">
        <f t="shared" si="6"/>
        <v>3</v>
      </c>
      <c r="AD12" s="136"/>
    </row>
    <row r="13" spans="1:30" x14ac:dyDescent="0.25">
      <c r="B13" s="3" t="s">
        <v>15</v>
      </c>
      <c r="C13" s="87">
        <v>19</v>
      </c>
      <c r="D13" s="87">
        <v>7</v>
      </c>
      <c r="E13" s="121">
        <v>18.649999999999999</v>
      </c>
      <c r="F13" s="87">
        <v>15</v>
      </c>
      <c r="G13" s="87">
        <v>5</v>
      </c>
      <c r="H13" s="121">
        <v>14.75</v>
      </c>
      <c r="I13" s="123">
        <v>33.4</v>
      </c>
      <c r="J13" s="1">
        <f>((VLOOKUP($B13,'OIA Masters table'!$A$12:$Q$203,2,FALSE)+(VLOOKUP($B13,'OIA Masters table'!$A$12:$Q$203,4,FALSE))))</f>
        <v>16</v>
      </c>
      <c r="K13" s="81">
        <f>(VLOOKUP(Budget!$B13,'OIA Masters table'!A17:Q209,5,FALSE)+(VLOOKUP(Budget!$B13,'OIA Masters table'!A17:Q209,6,FALSE)))</f>
        <v>10</v>
      </c>
      <c r="L13" s="78">
        <f t="shared" si="0"/>
        <v>15.5</v>
      </c>
      <c r="M13" s="81">
        <f>(VLOOKUP($B13,'OIA PHD_table'!$A$12:$R$129,2,FALSE)+(VLOOKUP($B13,'OIA PHD_table'!$A$12:$R$129,4,FALSE)))</f>
        <v>15</v>
      </c>
      <c r="N13" s="81">
        <f>(VLOOKUP($B13,'OIA PHD_table'!$A$12:$R$129,5,FALSE)+(VLOOKUP($B13,'OIA PHD_table'!$A$12:$R$129,6,FALSE)))</f>
        <v>6</v>
      </c>
      <c r="O13" s="14">
        <f>M13-(N13*$T$1)</f>
        <v>14.7</v>
      </c>
      <c r="P13" s="10">
        <f t="shared" si="3"/>
        <v>30.2</v>
      </c>
      <c r="Q13" s="12">
        <f t="shared" si="4"/>
        <v>17.074999999999999</v>
      </c>
      <c r="R13" s="2">
        <f t="shared" si="1"/>
        <v>37832.248494059873</v>
      </c>
      <c r="S13" s="2">
        <f>VLOOKUP(B13,'MGS Renewals'!$A$3:$D$46,2,FALSE)</f>
        <v>15000</v>
      </c>
      <c r="T13" s="2">
        <f t="shared" si="5"/>
        <v>22832.248494059873</v>
      </c>
      <c r="U13" s="12">
        <v>1.8265798795247901</v>
      </c>
      <c r="V13" s="135">
        <f t="shared" si="2"/>
        <v>1</v>
      </c>
      <c r="W13" s="136"/>
      <c r="X13" s="12">
        <f t="shared" si="7"/>
        <v>14.725</v>
      </c>
      <c r="Y13" s="2">
        <f>X13*$B$120</f>
        <v>78747.780317348675</v>
      </c>
      <c r="Z13" s="2">
        <f>VLOOKUP(B13,'UMGF Renewals'!A$4:C$61,3,FALSE)</f>
        <v>36000</v>
      </c>
      <c r="AA13" s="2">
        <f t="shared" si="8"/>
        <v>42747.780317348675</v>
      </c>
      <c r="AB13" s="12">
        <v>2.8498520211565799</v>
      </c>
      <c r="AC13" s="141">
        <f t="shared" si="6"/>
        <v>2</v>
      </c>
      <c r="AD13" s="136"/>
    </row>
    <row r="14" spans="1:30" x14ac:dyDescent="0.25">
      <c r="B14" s="3" t="s">
        <v>16</v>
      </c>
      <c r="C14" s="87">
        <v>12</v>
      </c>
      <c r="D14" s="87">
        <v>9</v>
      </c>
      <c r="E14" s="121">
        <v>11.55</v>
      </c>
      <c r="F14" s="87">
        <v>10</v>
      </c>
      <c r="G14" s="87">
        <v>2</v>
      </c>
      <c r="H14" s="121">
        <v>9.9</v>
      </c>
      <c r="I14" s="123">
        <v>21.450000000000003</v>
      </c>
      <c r="J14" s="1">
        <f>((VLOOKUP($B14,'OIA Masters table'!$A$12:$Q$203,2,FALSE)+(VLOOKUP($B14,'OIA Masters table'!$A$12:$Q$203,4,FALSE))))</f>
        <v>13</v>
      </c>
      <c r="K14" s="81">
        <f>(VLOOKUP(Budget!$B14,'OIA Masters table'!A18:Q210,5,FALSE)+(VLOOKUP(Budget!$B14,'OIA Masters table'!A18:Q210,6,FALSE)))</f>
        <v>4</v>
      </c>
      <c r="L14" s="78">
        <f t="shared" si="0"/>
        <v>12.8</v>
      </c>
      <c r="M14" s="81">
        <f>(VLOOKUP($B14,'OIA PHD_table'!$A$12:$R$129,2,FALSE)+(VLOOKUP($B14,'OIA PHD_table'!$A$12:$R$129,4,FALSE)))</f>
        <v>9</v>
      </c>
      <c r="N14" s="81">
        <f>(VLOOKUP($B14,'OIA PHD_table'!$A$12:$R$129,5,FALSE)+(VLOOKUP($B14,'OIA PHD_table'!$A$12:$R$129,6,FALSE)))</f>
        <v>2</v>
      </c>
      <c r="O14" s="14">
        <f>M14-(N14*$T$1)</f>
        <v>8.9</v>
      </c>
      <c r="P14" s="10">
        <f t="shared" si="3"/>
        <v>21.700000000000003</v>
      </c>
      <c r="Q14" s="12">
        <f t="shared" si="4"/>
        <v>12.175000000000001</v>
      </c>
      <c r="R14" s="2">
        <f t="shared" si="1"/>
        <v>26975.556393275492</v>
      </c>
      <c r="S14" s="2">
        <f>VLOOKUP(B14,'MGS Renewals'!$A$3:$D$46,2,FALSE)</f>
        <v>15000</v>
      </c>
      <c r="T14" s="2">
        <f t="shared" si="5"/>
        <v>11975.556393275492</v>
      </c>
      <c r="U14" s="12">
        <v>0.95804451146203895</v>
      </c>
      <c r="V14" s="135">
        <f t="shared" si="2"/>
        <v>0</v>
      </c>
      <c r="W14" s="136"/>
      <c r="X14" s="12">
        <f t="shared" si="7"/>
        <v>9.4</v>
      </c>
      <c r="Y14" s="2">
        <f>X14*$B$120</f>
        <v>50270.229880005274</v>
      </c>
      <c r="Z14" s="2">
        <f>VLOOKUP(B14,'UMGF Renewals'!A$4:C$61,3,FALSE)</f>
        <v>60000</v>
      </c>
      <c r="AA14" s="2">
        <f t="shared" si="8"/>
        <v>-9729.770119994726</v>
      </c>
      <c r="AB14" s="12">
        <v>-0.64865134133298197</v>
      </c>
      <c r="AC14" s="141">
        <f t="shared" si="6"/>
        <v>0</v>
      </c>
      <c r="AD14" s="136"/>
    </row>
    <row r="15" spans="1:30" ht="14.4" x14ac:dyDescent="0.3">
      <c r="B15" s="3" t="s">
        <v>64</v>
      </c>
      <c r="C15" s="89">
        <v>5</v>
      </c>
      <c r="D15" s="89">
        <v>1</v>
      </c>
      <c r="E15" s="121">
        <v>4.95</v>
      </c>
      <c r="F15" s="88"/>
      <c r="G15" s="88"/>
      <c r="H15" s="122"/>
      <c r="I15" s="123">
        <v>4.95</v>
      </c>
      <c r="J15" s="1">
        <f>((VLOOKUP($B15,'OIA Masters table'!$A$12:$Q$203,2,FALSE)+(VLOOKUP($B15,'OIA Masters table'!$A$12:$Q$203,4,FALSE))))</f>
        <v>3</v>
      </c>
      <c r="K15" s="81">
        <f>(VLOOKUP(Budget!$B15,'OIA Masters table'!A19:Q211,5,FALSE)+(VLOOKUP(Budget!$B15,'OIA Masters table'!A19:Q211,6,FALSE)))</f>
        <v>3</v>
      </c>
      <c r="L15" s="78">
        <f t="shared" si="0"/>
        <v>2.85</v>
      </c>
      <c r="P15" s="10">
        <f t="shared" si="3"/>
        <v>2.85</v>
      </c>
      <c r="Q15" s="12">
        <f t="shared" si="4"/>
        <v>3.9000000000000004</v>
      </c>
      <c r="R15" s="2">
        <f t="shared" si="1"/>
        <v>8641.0406516447165</v>
      </c>
      <c r="T15" s="2">
        <f t="shared" si="5"/>
        <v>8641.0406516447165</v>
      </c>
      <c r="U15" s="12">
        <v>0.69128325213157704</v>
      </c>
      <c r="V15" s="135">
        <f t="shared" si="2"/>
        <v>0</v>
      </c>
      <c r="W15" s="136"/>
      <c r="X15" s="12"/>
      <c r="Z15" s="2"/>
      <c r="AA15" s="2"/>
      <c r="AB15" s="12">
        <v>0</v>
      </c>
      <c r="AC15" s="141">
        <f t="shared" si="6"/>
        <v>0</v>
      </c>
      <c r="AD15" s="136"/>
    </row>
    <row r="16" spans="1:30" s="144" customFormat="1" x14ac:dyDescent="0.25">
      <c r="B16" s="145" t="s">
        <v>17</v>
      </c>
      <c r="C16" s="146">
        <f t="shared" ref="C16:P16" si="9">SUM(C7:C15)</f>
        <v>122</v>
      </c>
      <c r="D16" s="146">
        <f t="shared" si="9"/>
        <v>48</v>
      </c>
      <c r="E16" s="146">
        <f t="shared" si="9"/>
        <v>119.6</v>
      </c>
      <c r="F16" s="146">
        <f t="shared" si="9"/>
        <v>84</v>
      </c>
      <c r="G16" s="146">
        <f t="shared" si="9"/>
        <v>34</v>
      </c>
      <c r="H16" s="146">
        <f t="shared" si="9"/>
        <v>82.300000000000011</v>
      </c>
      <c r="I16" s="147">
        <f t="shared" si="9"/>
        <v>201.89999999999998</v>
      </c>
      <c r="J16" s="146">
        <f t="shared" si="9"/>
        <v>110</v>
      </c>
      <c r="K16" s="146">
        <f t="shared" si="9"/>
        <v>48</v>
      </c>
      <c r="L16" s="146">
        <f t="shared" si="9"/>
        <v>107.6</v>
      </c>
      <c r="M16" s="146">
        <f t="shared" si="9"/>
        <v>75</v>
      </c>
      <c r="N16" s="146">
        <f t="shared" si="9"/>
        <v>37</v>
      </c>
      <c r="O16" s="148">
        <f t="shared" si="9"/>
        <v>80.400000000000006</v>
      </c>
      <c r="P16" s="147">
        <f t="shared" si="9"/>
        <v>187.99999999999997</v>
      </c>
      <c r="Q16" s="148">
        <f t="shared" si="4"/>
        <v>113.6</v>
      </c>
      <c r="R16" s="149">
        <f>SUM(R7:R15)</f>
        <v>251698.0046222666</v>
      </c>
      <c r="S16" s="149">
        <f>SUM(S7:S15)</f>
        <v>145000</v>
      </c>
      <c r="T16" s="149">
        <f>SUM(T7:T15)</f>
        <v>106698.00462226657</v>
      </c>
      <c r="U16" s="148">
        <v>8.5358403697813294</v>
      </c>
      <c r="V16" s="148">
        <f>SUM(V7:V15)</f>
        <v>5</v>
      </c>
      <c r="W16" s="148">
        <f>ROUNDUP(U16,0)</f>
        <v>9</v>
      </c>
      <c r="X16" s="148">
        <f>SUM(X7:X15)</f>
        <v>81.350000000000009</v>
      </c>
      <c r="Y16" s="149">
        <f>SUM(Y7:Y15)</f>
        <v>376759.32926025224</v>
      </c>
      <c r="Z16" s="149">
        <f>SUM(Z7:Z15)</f>
        <v>306000</v>
      </c>
      <c r="AA16" s="149">
        <f>SUM(AA8:AA15)</f>
        <v>70759.329260252242</v>
      </c>
      <c r="AB16" s="148">
        <f>SUM(AB7:AB15)</f>
        <v>4.717288617350146</v>
      </c>
      <c r="AC16" s="150">
        <f>SUM(AC7:AC15)</f>
        <v>5</v>
      </c>
      <c r="AD16" s="148">
        <f>ROUNDUP(AB16,0)</f>
        <v>5</v>
      </c>
    </row>
    <row r="17" spans="1:30" x14ac:dyDescent="0.25">
      <c r="R17" s="2"/>
      <c r="W17" s="136"/>
      <c r="X17" s="12"/>
      <c r="Z17" s="2"/>
      <c r="AA17" s="2"/>
      <c r="AB17" s="12"/>
      <c r="AD17" s="136"/>
    </row>
    <row r="18" spans="1:30" ht="14.4" x14ac:dyDescent="0.3">
      <c r="A18" s="139" t="s">
        <v>18</v>
      </c>
      <c r="B18" s="3" t="s">
        <v>18</v>
      </c>
      <c r="C18" s="91">
        <v>45</v>
      </c>
      <c r="D18" s="91">
        <v>1</v>
      </c>
      <c r="E18" s="121">
        <v>44.95</v>
      </c>
      <c r="F18" s="90"/>
      <c r="G18" s="90"/>
      <c r="H18" s="122"/>
      <c r="I18" s="123">
        <v>44.95</v>
      </c>
      <c r="J18" s="1">
        <f>((VLOOKUP($B18,'OIA Masters table'!A22:Q213,2,FALSE)+(VLOOKUP($B18,'OIA Masters table'!A22:Q213,4,FALSE))))</f>
        <v>51</v>
      </c>
      <c r="K18" s="81">
        <f>(VLOOKUP(Budget!$B18,'OIA Masters table'!A22:Q214,5,FALSE)+(VLOOKUP(Budget!$B18,'OIA Masters table'!A22:Q214,6,FALSE)))</f>
        <v>5</v>
      </c>
      <c r="L18" s="78">
        <f>J18-(K18*$T$1)</f>
        <v>50.75</v>
      </c>
      <c r="P18" s="10">
        <f>L18+O18</f>
        <v>50.75</v>
      </c>
      <c r="Q18" s="12">
        <f t="shared" si="4"/>
        <v>47.85</v>
      </c>
      <c r="R18" s="2">
        <f>Q18*$B$129</f>
        <v>106018.92184133324</v>
      </c>
      <c r="S18" s="2">
        <f>VLOOKUP(B18,'MGS Renewals'!$A$3:$D$46,2,FALSE)</f>
        <v>40000</v>
      </c>
      <c r="T18" s="2">
        <f t="shared" ref="T18:T21" si="10">R18-S18</f>
        <v>66018.921841333242</v>
      </c>
      <c r="U18" s="12">
        <v>5.2815137473066596</v>
      </c>
      <c r="V18" s="135">
        <f>ROUNDDOWN(U18,0)</f>
        <v>5</v>
      </c>
      <c r="W18" s="136"/>
      <c r="X18" s="12"/>
      <c r="Z18" s="2"/>
      <c r="AA18" s="2"/>
      <c r="AB18" s="12"/>
      <c r="AD18" s="136"/>
    </row>
    <row r="19" spans="1:30" ht="14.4" x14ac:dyDescent="0.3">
      <c r="B19" s="3" t="s">
        <v>19</v>
      </c>
      <c r="C19" s="91">
        <v>25</v>
      </c>
      <c r="D19" s="91">
        <v>25</v>
      </c>
      <c r="E19" s="121">
        <v>23.75</v>
      </c>
      <c r="F19" s="90"/>
      <c r="G19" s="90"/>
      <c r="H19" s="122"/>
      <c r="I19" s="123">
        <v>23.75</v>
      </c>
      <c r="J19" s="1">
        <f>((VLOOKUP($B19,'OIA Masters table'!A23:Q214,2,FALSE)+(VLOOKUP($B19,'OIA Masters table'!A23:Q214,4,FALSE))))</f>
        <v>22</v>
      </c>
      <c r="K19" s="81">
        <f>(VLOOKUP(Budget!$B19,'OIA Masters table'!A23:Q215,5,FALSE)+(VLOOKUP(Budget!$B19,'OIA Masters table'!A23:Q215,6,FALSE)))</f>
        <v>24</v>
      </c>
      <c r="L19" s="78">
        <f>J19-(K19*$T$1)</f>
        <v>20.8</v>
      </c>
      <c r="P19" s="10">
        <f t="shared" ref="P19:P21" si="11">L19+O19</f>
        <v>20.8</v>
      </c>
      <c r="Q19" s="12">
        <f t="shared" si="4"/>
        <v>22.274999999999999</v>
      </c>
      <c r="R19" s="2">
        <f>Q19*$B$129</f>
        <v>49353.63602958616</v>
      </c>
      <c r="S19" s="2">
        <f>VLOOKUP(B19,'MGS Renewals'!$A$3:$D$46,2,FALSE)</f>
        <v>45000</v>
      </c>
      <c r="T19" s="2">
        <f t="shared" si="10"/>
        <v>4353.6360295861596</v>
      </c>
      <c r="U19" s="12">
        <v>0.34829088236689298</v>
      </c>
      <c r="V19" s="135">
        <f t="shared" ref="V19:V21" si="12">ROUNDDOWN(U19,0)</f>
        <v>0</v>
      </c>
      <c r="W19" s="136"/>
      <c r="X19" s="12"/>
      <c r="Z19" s="2"/>
      <c r="AA19" s="2"/>
      <c r="AB19" s="12"/>
      <c r="AD19" s="136"/>
    </row>
    <row r="20" spans="1:30" ht="14.4" x14ac:dyDescent="0.3">
      <c r="B20" s="3" t="s">
        <v>20</v>
      </c>
      <c r="C20" s="91">
        <v>19</v>
      </c>
      <c r="D20" s="91">
        <v>13</v>
      </c>
      <c r="E20" s="121">
        <v>18.350000000000001</v>
      </c>
      <c r="F20" s="90"/>
      <c r="G20" s="90"/>
      <c r="H20" s="122"/>
      <c r="I20" s="123">
        <v>18.350000000000001</v>
      </c>
      <c r="J20" s="1">
        <f>((VLOOKUP($B20,'OIA Masters table'!A24:Q215,2,FALSE)+(VLOOKUP($B20,'OIA Masters table'!A24:Q215,4,FALSE))))</f>
        <v>15</v>
      </c>
      <c r="K20" s="81">
        <f>(VLOOKUP(Budget!$B20,'OIA Masters table'!A24:Q216,5,FALSE)+(VLOOKUP(Budget!$B20,'OIA Masters table'!A24:Q216,6,FALSE)))</f>
        <v>19</v>
      </c>
      <c r="L20" s="78">
        <f>J20-(K20*$T$1)</f>
        <v>14.05</v>
      </c>
      <c r="P20" s="10">
        <f t="shared" si="11"/>
        <v>14.05</v>
      </c>
      <c r="Q20" s="12">
        <f t="shared" si="4"/>
        <v>16.200000000000003</v>
      </c>
      <c r="R20" s="2">
        <f>Q20*$B$129</f>
        <v>35893.553476062669</v>
      </c>
      <c r="S20" s="2">
        <f>VLOOKUP(B20,'MGS Renewals'!$A$3:$D$46,2,FALSE)</f>
        <v>15000</v>
      </c>
      <c r="T20" s="2">
        <f t="shared" si="10"/>
        <v>20893.553476062669</v>
      </c>
      <c r="U20" s="12">
        <v>1.6714842780850101</v>
      </c>
      <c r="V20" s="135">
        <f t="shared" si="12"/>
        <v>1</v>
      </c>
      <c r="W20" s="136"/>
      <c r="X20" s="12"/>
      <c r="Z20" s="2"/>
      <c r="AA20" s="2"/>
      <c r="AB20" s="12"/>
      <c r="AD20" s="136"/>
    </row>
    <row r="21" spans="1:30" ht="14.4" x14ac:dyDescent="0.3">
      <c r="B21" s="3" t="s">
        <v>21</v>
      </c>
      <c r="C21" s="91">
        <v>29</v>
      </c>
      <c r="D21" s="91">
        <v>31</v>
      </c>
      <c r="E21" s="121">
        <v>27.45</v>
      </c>
      <c r="F21" s="90"/>
      <c r="G21" s="90"/>
      <c r="H21" s="122"/>
      <c r="I21" s="123">
        <v>27.45</v>
      </c>
      <c r="J21" s="1">
        <f>((VLOOKUP($B21,'OIA Masters table'!A25:Q216,2,FALSE)+(VLOOKUP($B21,'OIA Masters table'!A25:Q216,4,FALSE))))</f>
        <v>28</v>
      </c>
      <c r="K21" s="81">
        <f>(VLOOKUP(Budget!$B21,'OIA Masters table'!A25:Q217,5,FALSE)+(VLOOKUP(Budget!$B21,'OIA Masters table'!A25:Q217,6,FALSE)))</f>
        <v>32</v>
      </c>
      <c r="L21" s="78">
        <f>J21-(K21*$T$1)</f>
        <v>26.4</v>
      </c>
      <c r="P21" s="10">
        <f t="shared" si="11"/>
        <v>26.4</v>
      </c>
      <c r="Q21" s="12">
        <f t="shared" si="4"/>
        <v>26.924999999999997</v>
      </c>
      <c r="R21" s="2">
        <f>Q21*$B$129</f>
        <v>59656.415268085628</v>
      </c>
      <c r="S21" s="2">
        <f>VLOOKUP(B21,'MGS Renewals'!$A$3:$D$46,2,FALSE)</f>
        <v>45000</v>
      </c>
      <c r="T21" s="2">
        <f t="shared" si="10"/>
        <v>14656.415268085628</v>
      </c>
      <c r="U21" s="12">
        <v>1.1725132214468501</v>
      </c>
      <c r="V21" s="135">
        <f t="shared" si="12"/>
        <v>1</v>
      </c>
      <c r="W21" s="136"/>
      <c r="X21" s="12"/>
      <c r="Z21" s="2"/>
      <c r="AA21" s="2"/>
      <c r="AB21" s="12"/>
      <c r="AD21" s="136"/>
    </row>
    <row r="22" spans="1:30" s="144" customFormat="1" x14ac:dyDescent="0.25">
      <c r="B22" s="145" t="s">
        <v>17</v>
      </c>
      <c r="C22" s="146">
        <f>SUM(C18:C21)</f>
        <v>118</v>
      </c>
      <c r="D22" s="146">
        <f t="shared" ref="D22:I22" si="13">SUM(D18:D21)</f>
        <v>70</v>
      </c>
      <c r="E22" s="146">
        <f t="shared" si="13"/>
        <v>114.50000000000001</v>
      </c>
      <c r="F22" s="146"/>
      <c r="G22" s="146"/>
      <c r="H22" s="146"/>
      <c r="I22" s="147">
        <f t="shared" si="13"/>
        <v>114.50000000000001</v>
      </c>
      <c r="J22" s="146">
        <f>SUM(J18:J21)</f>
        <v>116</v>
      </c>
      <c r="K22" s="146">
        <f>SUM(K18:K21)</f>
        <v>80</v>
      </c>
      <c r="L22" s="146">
        <f>SUM(L18:L21)</f>
        <v>112</v>
      </c>
      <c r="M22" s="146">
        <f t="shared" ref="M22:P22" si="14">SUM(M18:M21)</f>
        <v>0</v>
      </c>
      <c r="N22" s="146">
        <f t="shared" si="14"/>
        <v>0</v>
      </c>
      <c r="O22" s="148">
        <f t="shared" si="14"/>
        <v>0</v>
      </c>
      <c r="P22" s="147">
        <f t="shared" si="14"/>
        <v>112</v>
      </c>
      <c r="Q22" s="148">
        <f t="shared" si="4"/>
        <v>113.25</v>
      </c>
      <c r="R22" s="149">
        <f>SUM(R18:R21)</f>
        <v>250922.52661506771</v>
      </c>
      <c r="S22" s="149">
        <f>SUM(S18:S21)</f>
        <v>145000</v>
      </c>
      <c r="T22" s="149">
        <f>SUM(T18:T21)</f>
        <v>105922.52661506771</v>
      </c>
      <c r="U22" s="148">
        <f t="shared" ref="U22:V22" si="15">SUM(U18:U21)</f>
        <v>8.4738021292054135</v>
      </c>
      <c r="V22" s="148">
        <f t="shared" si="15"/>
        <v>7</v>
      </c>
      <c r="W22" s="148">
        <f>ROUNDUP(U22,0)</f>
        <v>9</v>
      </c>
      <c r="X22" s="148"/>
      <c r="Y22" s="149"/>
      <c r="Z22" s="149"/>
      <c r="AA22" s="149"/>
      <c r="AB22" s="148"/>
      <c r="AC22" s="150"/>
      <c r="AD22" s="148"/>
    </row>
    <row r="23" spans="1:30" x14ac:dyDescent="0.25">
      <c r="R23" s="2"/>
      <c r="W23" s="136"/>
      <c r="X23" s="12"/>
      <c r="Z23" s="2"/>
      <c r="AA23" s="2"/>
      <c r="AB23" s="12"/>
      <c r="AD23" s="136"/>
    </row>
    <row r="24" spans="1:30" x14ac:dyDescent="0.25">
      <c r="R24" s="2"/>
      <c r="W24" s="136"/>
      <c r="X24" s="12"/>
      <c r="Z24" s="2"/>
      <c r="AA24" s="2"/>
      <c r="AB24" s="12"/>
      <c r="AD24" s="136"/>
    </row>
    <row r="25" spans="1:30" ht="14.4" x14ac:dyDescent="0.3">
      <c r="A25" s="139" t="s">
        <v>22</v>
      </c>
      <c r="B25" s="3" t="s">
        <v>23</v>
      </c>
      <c r="C25" s="93">
        <v>8</v>
      </c>
      <c r="D25" s="93">
        <v>0</v>
      </c>
      <c r="E25" s="121">
        <v>8</v>
      </c>
      <c r="F25" s="92"/>
      <c r="G25" s="92"/>
      <c r="H25" s="122"/>
      <c r="I25" s="123">
        <v>8</v>
      </c>
      <c r="J25" s="1">
        <f>((VLOOKUP($B25,'OIA Masters table'!A29:Q220,2,FALSE)+(VLOOKUP($B25,'OIA Masters table'!A29:Q220,4,FALSE))))</f>
        <v>10</v>
      </c>
      <c r="K25" s="81">
        <f>(VLOOKUP(Budget!$B25,'OIA Masters table'!A29:Q221,5,FALSE)+(VLOOKUP(Budget!$B25,'OIA Masters table'!A29:Q221,6,FALSE)))</f>
        <v>0</v>
      </c>
      <c r="L25" s="78">
        <f>J25-(K25*$T$1)</f>
        <v>10</v>
      </c>
      <c r="P25" s="10">
        <f>L25+O25</f>
        <v>10</v>
      </c>
      <c r="Q25" s="12">
        <f t="shared" si="4"/>
        <v>9</v>
      </c>
      <c r="R25" s="2">
        <f>Q25*$B$129</f>
        <v>19940.863042257035</v>
      </c>
      <c r="S25" s="2">
        <v>0</v>
      </c>
      <c r="T25" s="2">
        <f t="shared" ref="T25" si="16">R25-S25</f>
        <v>19940.863042257035</v>
      </c>
      <c r="U25" s="12">
        <v>1.5952690433805601</v>
      </c>
      <c r="V25" s="135">
        <f t="shared" ref="V25" si="17">ROUNDDOWN(U25,0)</f>
        <v>1</v>
      </c>
      <c r="W25" s="136"/>
      <c r="X25" s="12"/>
      <c r="Z25" s="2"/>
      <c r="AA25" s="2"/>
      <c r="AB25" s="12"/>
      <c r="AD25" s="136"/>
    </row>
    <row r="26" spans="1:30" s="144" customFormat="1" x14ac:dyDescent="0.25">
      <c r="B26" s="145" t="s">
        <v>17</v>
      </c>
      <c r="C26" s="146">
        <f>SUM(C25)</f>
        <v>8</v>
      </c>
      <c r="D26" s="146">
        <f t="shared" ref="D26:I26" si="18">SUM(D25)</f>
        <v>0</v>
      </c>
      <c r="E26" s="146">
        <f t="shared" si="18"/>
        <v>8</v>
      </c>
      <c r="F26" s="146"/>
      <c r="G26" s="146"/>
      <c r="H26" s="146"/>
      <c r="I26" s="147">
        <f t="shared" si="18"/>
        <v>8</v>
      </c>
      <c r="J26" s="146">
        <f>SUM(J25)</f>
        <v>10</v>
      </c>
      <c r="K26" s="146">
        <f>SUM(K25)</f>
        <v>0</v>
      </c>
      <c r="L26" s="146">
        <f>SUM(L25)</f>
        <v>10</v>
      </c>
      <c r="M26" s="146">
        <f t="shared" ref="M26:P26" si="19">SUM(M25)</f>
        <v>0</v>
      </c>
      <c r="N26" s="146">
        <f t="shared" si="19"/>
        <v>0</v>
      </c>
      <c r="O26" s="146">
        <f t="shared" si="19"/>
        <v>0</v>
      </c>
      <c r="P26" s="147">
        <f t="shared" si="19"/>
        <v>10</v>
      </c>
      <c r="Q26" s="148">
        <f t="shared" si="4"/>
        <v>9</v>
      </c>
      <c r="R26" s="149">
        <f>SUM(R25)</f>
        <v>19940.863042257035</v>
      </c>
      <c r="S26" s="149">
        <f>SUM(S25)</f>
        <v>0</v>
      </c>
      <c r="T26" s="149">
        <f>SUM(T25)</f>
        <v>19940.863042257035</v>
      </c>
      <c r="U26" s="148">
        <f>SUM(U25)</f>
        <v>1.5952690433805601</v>
      </c>
      <c r="V26" s="148">
        <f t="shared" ref="V26" si="20">SUM(V25)</f>
        <v>1</v>
      </c>
      <c r="W26" s="148">
        <f>ROUNDUP(U26,0)</f>
        <v>2</v>
      </c>
      <c r="X26" s="148"/>
      <c r="Y26" s="149"/>
      <c r="Z26" s="149"/>
      <c r="AA26" s="149"/>
      <c r="AB26" s="148"/>
      <c r="AC26" s="150"/>
      <c r="AD26" s="148"/>
    </row>
    <row r="27" spans="1:30" x14ac:dyDescent="0.25">
      <c r="R27" s="2"/>
      <c r="W27" s="136"/>
      <c r="X27" s="12"/>
      <c r="Z27" s="2"/>
      <c r="AA27" s="2"/>
      <c r="AB27" s="12"/>
      <c r="AD27" s="136"/>
    </row>
    <row r="28" spans="1:30" x14ac:dyDescent="0.25">
      <c r="A28" s="139" t="s">
        <v>24</v>
      </c>
      <c r="B28" s="56" t="s">
        <v>25</v>
      </c>
      <c r="C28" s="95">
        <v>13</v>
      </c>
      <c r="D28" s="95">
        <v>16</v>
      </c>
      <c r="E28" s="121">
        <v>12.2</v>
      </c>
      <c r="F28" s="95">
        <v>10</v>
      </c>
      <c r="G28" s="95">
        <v>6</v>
      </c>
      <c r="H28" s="121">
        <v>9.6999999999999993</v>
      </c>
      <c r="I28" s="123">
        <v>21.9</v>
      </c>
      <c r="J28" s="1">
        <f>((VLOOKUP(B28,'OIA Masters table'!A32:Q223,2,FALSE)+(VLOOKUP(B28,'OIA Masters table'!A32:Q223,4,FALSE))))</f>
        <v>8</v>
      </c>
      <c r="K28" s="81">
        <f>(VLOOKUP(Budget!$B28,'OIA Masters table'!A32:Q224,5,FALSE)+(VLOOKUP(Budget!$B28,'OIA Masters table'!A32:Q224,6,FALSE)))</f>
        <v>15</v>
      </c>
      <c r="L28" s="78">
        <f t="shared" ref="L28:L43" si="21">J28-(K28*$T$1)</f>
        <v>7.25</v>
      </c>
      <c r="M28" s="81">
        <f>(VLOOKUP($B28,'OIA PHD_table'!$A$12:$R$129,2,FALSE)+(VLOOKUP($B28,'OIA PHD_table'!$A$12:$R$129,4,FALSE)))</f>
        <v>13</v>
      </c>
      <c r="N28" s="81">
        <f>(VLOOKUP($B28,'OIA PHD_table'!$A$12:$R$129,5,FALSE)+(VLOOKUP($B28,'OIA PHD_table'!$A$12:$R$129,6,FALSE)))</f>
        <v>4</v>
      </c>
      <c r="O28" s="14">
        <f>M28-(N28*$T$1)</f>
        <v>12.8</v>
      </c>
      <c r="P28" s="10">
        <f>L28+O28</f>
        <v>20.05</v>
      </c>
      <c r="Q28" s="12">
        <f t="shared" si="4"/>
        <v>9.7249999999999996</v>
      </c>
      <c r="R28" s="2">
        <f t="shared" ref="R28:R43" si="22">Q28*$B$129</f>
        <v>21547.210342883296</v>
      </c>
      <c r="T28" s="2">
        <f t="shared" ref="T28:T43" si="23">R28-S28</f>
        <v>21547.210342883296</v>
      </c>
      <c r="U28" s="12">
        <v>1.72377682743066</v>
      </c>
      <c r="V28" s="135">
        <f t="shared" ref="V28:V43" si="24">ROUNDDOWN(U28,0)</f>
        <v>1</v>
      </c>
      <c r="W28" s="136"/>
      <c r="X28" s="12">
        <f t="shared" ref="X28:X43" si="25">AVERAGE(H28,O28)</f>
        <v>11.25</v>
      </c>
      <c r="Y28" s="2">
        <f>X28*$B$120</f>
        <v>60163.838952133963</v>
      </c>
      <c r="Z28" s="2">
        <f>VLOOKUP(B28,'UMGF Renewals'!A$4:C$61,3,FALSE)</f>
        <v>126000</v>
      </c>
      <c r="AA28" s="2">
        <f t="shared" ref="AA28:AA43" si="26">Y28-Z28</f>
        <v>-65836.161047866044</v>
      </c>
      <c r="AB28" s="12">
        <v>-4.3890774031910702</v>
      </c>
      <c r="AC28" s="141">
        <f>ROUNDDOWN(AB28,0)</f>
        <v>-4</v>
      </c>
      <c r="AD28" s="136"/>
    </row>
    <row r="29" spans="1:30" ht="14.4" x14ac:dyDescent="0.3">
      <c r="B29" s="3" t="s">
        <v>26</v>
      </c>
      <c r="C29" s="95">
        <v>5</v>
      </c>
      <c r="D29" s="95">
        <v>0</v>
      </c>
      <c r="E29" s="121">
        <v>5</v>
      </c>
      <c r="F29" s="94"/>
      <c r="G29" s="95">
        <v>0</v>
      </c>
      <c r="H29" s="121">
        <v>0</v>
      </c>
      <c r="I29" s="123">
        <v>0</v>
      </c>
      <c r="J29" s="1">
        <f>((VLOOKUP(B29,'OIA Masters table'!A33:Q224,2,FALSE)+(VLOOKUP(B29,'OIA Masters table'!A33:Q224,4,FALSE))))</f>
        <v>6</v>
      </c>
      <c r="K29" s="81">
        <f>(VLOOKUP(Budget!$B29,'OIA Masters table'!A33:Q225,5,FALSE)+(VLOOKUP(Budget!$B29,'OIA Masters table'!A33:Q225,6,FALSE)))</f>
        <v>0</v>
      </c>
      <c r="L29" s="78">
        <f t="shared" si="21"/>
        <v>6</v>
      </c>
      <c r="P29" s="10">
        <f t="shared" ref="P29:P43" si="27">L29+O29</f>
        <v>6</v>
      </c>
      <c r="Q29" s="12">
        <f t="shared" si="4"/>
        <v>5.5</v>
      </c>
      <c r="R29" s="2">
        <f t="shared" si="22"/>
        <v>12186.082970268188</v>
      </c>
      <c r="T29" s="2">
        <f t="shared" si="23"/>
        <v>12186.082970268188</v>
      </c>
      <c r="U29" s="12">
        <v>0.974886637621455</v>
      </c>
      <c r="V29" s="135">
        <f t="shared" si="24"/>
        <v>0</v>
      </c>
      <c r="W29" s="136"/>
      <c r="X29" s="12"/>
      <c r="Z29" s="2"/>
      <c r="AA29" s="2"/>
      <c r="AB29" s="12"/>
      <c r="AD29" s="136"/>
    </row>
    <row r="30" spans="1:30" x14ac:dyDescent="0.25">
      <c r="B30" s="3" t="s">
        <v>27</v>
      </c>
      <c r="C30" s="95">
        <v>12</v>
      </c>
      <c r="D30" s="95">
        <v>0</v>
      </c>
      <c r="E30" s="121">
        <v>12</v>
      </c>
      <c r="F30" s="95">
        <v>11</v>
      </c>
      <c r="G30" s="95">
        <v>8</v>
      </c>
      <c r="H30" s="121">
        <v>10.6</v>
      </c>
      <c r="I30" s="123">
        <v>22.6</v>
      </c>
      <c r="J30" s="1">
        <f>((VLOOKUP(B30,'OIA Masters table'!A34:Q225,2,FALSE)+(VLOOKUP(B30,'OIA Masters table'!A34:Q225,4,FALSE))))</f>
        <v>15</v>
      </c>
      <c r="K30" s="81">
        <f>(VLOOKUP(Budget!$B30,'OIA Masters table'!A34:Q226,5,FALSE)+(VLOOKUP(Budget!$B30,'OIA Masters table'!A34:Q226,6,FALSE)))</f>
        <v>0</v>
      </c>
      <c r="L30" s="78">
        <f t="shared" si="21"/>
        <v>15</v>
      </c>
      <c r="M30" s="81">
        <f>(VLOOKUP($B30,'OIA PHD_table'!$A$12:$R$129,2,FALSE)+(VLOOKUP($B30,'OIA PHD_table'!$A$12:$R$129,4,FALSE)))</f>
        <v>7</v>
      </c>
      <c r="N30" s="81">
        <f>(VLOOKUP($B30,'OIA PHD_table'!$A$12:$R$129,5,FALSE)+(VLOOKUP($B30,'OIA PHD_table'!$A$12:$R$129,6,FALSE)))</f>
        <v>7</v>
      </c>
      <c r="O30" s="14">
        <f>M30-(N30*$T$1)</f>
        <v>6.65</v>
      </c>
      <c r="P30" s="10">
        <f t="shared" si="27"/>
        <v>21.65</v>
      </c>
      <c r="Q30" s="12">
        <f t="shared" si="4"/>
        <v>13.5</v>
      </c>
      <c r="R30" s="2">
        <f t="shared" si="22"/>
        <v>29911.294563385552</v>
      </c>
      <c r="S30" s="2">
        <f>VLOOKUP(B30,'MGS Renewals'!$A$7:$E$46,2,FALSE)</f>
        <v>30000</v>
      </c>
      <c r="T30" s="2">
        <f t="shared" si="23"/>
        <v>-88.705436614447535</v>
      </c>
      <c r="U30" s="12">
        <v>-7.0964349291557996E-3</v>
      </c>
      <c r="V30" s="135">
        <f t="shared" si="24"/>
        <v>0</v>
      </c>
      <c r="W30" s="136"/>
      <c r="X30" s="12">
        <f t="shared" si="25"/>
        <v>8.625</v>
      </c>
      <c r="Y30" s="2">
        <f>X30*$B$120</f>
        <v>46125.609863302707</v>
      </c>
      <c r="Z30" s="2">
        <f>VLOOKUP(B30,'UMGF Renewals'!A$4:C$61,3,FALSE)</f>
        <v>36000</v>
      </c>
      <c r="AA30" s="2">
        <f t="shared" si="26"/>
        <v>10125.609863302707</v>
      </c>
      <c r="AB30" s="12">
        <v>0.67504065755351395</v>
      </c>
      <c r="AC30" s="141">
        <f t="shared" ref="AC30:AC43" si="28">ROUNDDOWN(AB30,0)</f>
        <v>0</v>
      </c>
      <c r="AD30" s="136"/>
    </row>
    <row r="31" spans="1:30" x14ac:dyDescent="0.25">
      <c r="B31" s="3" t="s">
        <v>28</v>
      </c>
      <c r="C31" s="95">
        <v>12</v>
      </c>
      <c r="D31" s="95">
        <v>2</v>
      </c>
      <c r="E31" s="121">
        <v>11.9</v>
      </c>
      <c r="F31" s="95">
        <v>8</v>
      </c>
      <c r="G31" s="95">
        <v>9</v>
      </c>
      <c r="H31" s="121">
        <v>7.55</v>
      </c>
      <c r="I31" s="123">
        <v>19.45</v>
      </c>
      <c r="J31" s="1">
        <f>((VLOOKUP(B31,'OIA Masters table'!A35:Q226,2,FALSE)+(VLOOKUP(B31,'OIA Masters table'!A35:Q226,4,FALSE))))</f>
        <v>5</v>
      </c>
      <c r="K31" s="81">
        <f>(VLOOKUP(Budget!$B31,'OIA Masters table'!A35:Q227,5,FALSE)+(VLOOKUP(Budget!$B31,'OIA Masters table'!A35:Q227,6,FALSE)))</f>
        <v>6</v>
      </c>
      <c r="L31" s="78">
        <f t="shared" si="21"/>
        <v>4.7</v>
      </c>
      <c r="M31" s="81">
        <f>(VLOOKUP($B31,'OIA PHD_table'!$A$12:$R$129,2,FALSE)+(VLOOKUP($B31,'OIA PHD_table'!$A$12:$R$129,4,FALSE)))</f>
        <v>9</v>
      </c>
      <c r="N31" s="81">
        <f>(VLOOKUP($B31,'OIA PHD_table'!$A$12:$R$129,5,FALSE)+(VLOOKUP($B31,'OIA PHD_table'!$A$12:$R$129,6,FALSE)))</f>
        <v>7</v>
      </c>
      <c r="O31" s="14">
        <f>M31-(N31*$T$1)</f>
        <v>8.65</v>
      </c>
      <c r="P31" s="10">
        <f t="shared" si="27"/>
        <v>13.350000000000001</v>
      </c>
      <c r="Q31" s="12">
        <f t="shared" si="4"/>
        <v>8.3000000000000007</v>
      </c>
      <c r="R31" s="2">
        <f t="shared" si="22"/>
        <v>18389.907027859266</v>
      </c>
      <c r="S31" s="2">
        <f>VLOOKUP(B31,'MGS Renewals'!$A$7:$E$46,2,FALSE)</f>
        <v>15000</v>
      </c>
      <c r="T31" s="2">
        <f t="shared" si="23"/>
        <v>3389.9070278592662</v>
      </c>
      <c r="U31" s="12">
        <v>0.271192562228741</v>
      </c>
      <c r="V31" s="135">
        <f t="shared" si="24"/>
        <v>0</v>
      </c>
      <c r="W31" s="136"/>
      <c r="X31" s="12">
        <f t="shared" si="25"/>
        <v>8.1</v>
      </c>
      <c r="Y31" s="2">
        <f>X31*$B$120</f>
        <v>43317.964045536457</v>
      </c>
      <c r="Z31" s="2">
        <f>VLOOKUP(B31,'UMGF Renewals'!A$4:C$61,3,FALSE)</f>
        <v>42000</v>
      </c>
      <c r="AA31" s="2">
        <f t="shared" si="26"/>
        <v>1317.964045536457</v>
      </c>
      <c r="AB31" s="12">
        <v>8.7864269702430497E-2</v>
      </c>
      <c r="AC31" s="141">
        <f t="shared" si="28"/>
        <v>0</v>
      </c>
      <c r="AD31" s="136"/>
    </row>
    <row r="32" spans="1:30" x14ac:dyDescent="0.25">
      <c r="B32" s="3" t="s">
        <v>29</v>
      </c>
      <c r="C32" s="95">
        <v>2</v>
      </c>
      <c r="D32" s="95">
        <v>4</v>
      </c>
      <c r="E32" s="121">
        <v>1.8</v>
      </c>
      <c r="F32" s="95">
        <v>2</v>
      </c>
      <c r="G32" s="95">
        <v>2</v>
      </c>
      <c r="H32" s="121">
        <v>1.9</v>
      </c>
      <c r="I32" s="123">
        <v>3.7</v>
      </c>
      <c r="J32" s="1">
        <f>((VLOOKUP(B32,'OIA Masters table'!A36:Q227,2,FALSE)+(VLOOKUP(B32,'OIA Masters table'!A36:Q227,4,FALSE))))</f>
        <v>2</v>
      </c>
      <c r="K32" s="81">
        <f>(VLOOKUP(Budget!$B32,'OIA Masters table'!A36:Q228,5,FALSE)+(VLOOKUP(Budget!$B32,'OIA Masters table'!A36:Q228,6,FALSE)))</f>
        <v>1</v>
      </c>
      <c r="L32" s="78">
        <f t="shared" si="21"/>
        <v>1.95</v>
      </c>
      <c r="M32" s="81">
        <f>(VLOOKUP($B32,'OIA PHD_table'!$A$12:$R$129,2,FALSE)+(VLOOKUP($B32,'OIA PHD_table'!$A$12:$R$129,4,FALSE)))</f>
        <v>3</v>
      </c>
      <c r="N32" s="81">
        <f>(VLOOKUP($B32,'OIA PHD_table'!$A$12:$R$129,5,FALSE)+(VLOOKUP($B32,'OIA PHD_table'!$A$12:$R$129,6,FALSE)))</f>
        <v>1</v>
      </c>
      <c r="O32" s="14">
        <f>M32-(N32*$T$1)</f>
        <v>2.95</v>
      </c>
      <c r="P32" s="10">
        <f t="shared" si="27"/>
        <v>4.9000000000000004</v>
      </c>
      <c r="Q32" s="12">
        <f t="shared" si="4"/>
        <v>1.875</v>
      </c>
      <c r="R32" s="2">
        <f t="shared" si="22"/>
        <v>4154.346467136882</v>
      </c>
      <c r="T32" s="2">
        <f t="shared" si="23"/>
        <v>4154.346467136882</v>
      </c>
      <c r="U32" s="12">
        <v>0.33234771737095098</v>
      </c>
      <c r="V32" s="135">
        <f t="shared" si="24"/>
        <v>0</v>
      </c>
      <c r="W32" s="136"/>
      <c r="X32" s="12">
        <f t="shared" si="25"/>
        <v>2.4249999999999998</v>
      </c>
      <c r="Y32" s="2">
        <f>X32*$B$120</f>
        <v>12968.649729682209</v>
      </c>
      <c r="Z32" s="2"/>
      <c r="AA32" s="2">
        <f t="shared" si="26"/>
        <v>12968.649729682209</v>
      </c>
      <c r="AB32" s="12">
        <v>0.86457664864548101</v>
      </c>
      <c r="AC32" s="141">
        <f t="shared" si="28"/>
        <v>0</v>
      </c>
      <c r="AD32" s="136"/>
    </row>
    <row r="33" spans="1:30" ht="14.4" x14ac:dyDescent="0.3">
      <c r="B33" s="3" t="s">
        <v>30</v>
      </c>
      <c r="C33" s="95">
        <v>3</v>
      </c>
      <c r="D33" s="95">
        <v>2</v>
      </c>
      <c r="E33" s="121">
        <v>2.9</v>
      </c>
      <c r="F33" s="94"/>
      <c r="G33" s="94"/>
      <c r="H33" s="121">
        <v>0</v>
      </c>
      <c r="I33" s="123">
        <v>2.9</v>
      </c>
      <c r="J33" s="1">
        <f>((VLOOKUP(B33,'OIA Masters table'!A37:Q228,2,FALSE)+(VLOOKUP(B33,'OIA Masters table'!A37:Q228,4,FALSE))))</f>
        <v>4</v>
      </c>
      <c r="K33" s="81">
        <f>(VLOOKUP(Budget!$B33,'OIA Masters table'!A37:Q229,5,FALSE)+(VLOOKUP(Budget!$B33,'OIA Masters table'!A37:Q229,6,FALSE)))</f>
        <v>1</v>
      </c>
      <c r="L33" s="78">
        <f t="shared" si="21"/>
        <v>3.95</v>
      </c>
      <c r="P33" s="10">
        <f t="shared" si="27"/>
        <v>3.95</v>
      </c>
      <c r="Q33" s="12">
        <f t="shared" si="4"/>
        <v>3.4249999999999998</v>
      </c>
      <c r="R33" s="2">
        <f t="shared" si="22"/>
        <v>7588.6062133033711</v>
      </c>
      <c r="T33" s="2">
        <f t="shared" si="23"/>
        <v>7588.6062133033711</v>
      </c>
      <c r="U33" s="12">
        <v>0.60708849706427004</v>
      </c>
      <c r="V33" s="135">
        <f t="shared" si="24"/>
        <v>0</v>
      </c>
      <c r="W33" s="136"/>
      <c r="X33" s="12">
        <f t="shared" si="25"/>
        <v>0</v>
      </c>
      <c r="Z33" s="2"/>
      <c r="AA33" s="2"/>
      <c r="AB33" s="12">
        <v>0</v>
      </c>
      <c r="AC33" s="141">
        <f t="shared" si="28"/>
        <v>0</v>
      </c>
      <c r="AD33" s="136"/>
    </row>
    <row r="34" spans="1:30" x14ac:dyDescent="0.25">
      <c r="B34" s="3" t="s">
        <v>183</v>
      </c>
      <c r="C34" s="95">
        <v>16</v>
      </c>
      <c r="D34" s="95">
        <v>20</v>
      </c>
      <c r="E34" s="121">
        <v>15</v>
      </c>
      <c r="F34" s="95">
        <v>10</v>
      </c>
      <c r="G34" s="95">
        <v>3</v>
      </c>
      <c r="H34" s="121">
        <v>9.85</v>
      </c>
      <c r="I34" s="123">
        <v>24.85</v>
      </c>
      <c r="J34" s="1">
        <f>((VLOOKUP(B34,'OIA Masters table'!A38:Q229,2,FALSE)+(VLOOKUP(B34,'OIA Masters table'!A38:Q229,4,FALSE))))</f>
        <v>15</v>
      </c>
      <c r="K34" s="81">
        <f>(VLOOKUP(Budget!$B34,'OIA Masters table'!A38:Q230,5,FALSE)+(VLOOKUP(Budget!$B34,'OIA Masters table'!A38:Q230,6,FALSE)))</f>
        <v>18</v>
      </c>
      <c r="L34" s="78">
        <f t="shared" si="21"/>
        <v>14.1</v>
      </c>
      <c r="M34" s="81">
        <f>(VLOOKUP($B34,'OIA PHD_table'!$A$12:$R$129,2,FALSE)+(VLOOKUP($B34,'OIA PHD_table'!$A$12:$R$129,4,FALSE)))</f>
        <v>8</v>
      </c>
      <c r="N34" s="81">
        <f>(VLOOKUP($B34,'OIA PHD_table'!$A$12:$R$129,5,FALSE)+(VLOOKUP($B34,'OIA PHD_table'!$A$12:$R$129,6,FALSE)))</f>
        <v>2</v>
      </c>
      <c r="O34" s="14">
        <f>M34-(N34*$T$1)</f>
        <v>7.9</v>
      </c>
      <c r="P34" s="10">
        <f t="shared" si="27"/>
        <v>22</v>
      </c>
      <c r="Q34" s="12">
        <f t="shared" si="4"/>
        <v>14.55</v>
      </c>
      <c r="R34" s="2">
        <f t="shared" si="22"/>
        <v>32237.728584982207</v>
      </c>
      <c r="S34" s="2">
        <f>VLOOKUP(B34,'MGS Renewals'!$A$7:$E$46,2,FALSE)</f>
        <v>5000</v>
      </c>
      <c r="T34" s="2">
        <f t="shared" si="23"/>
        <v>27237.728584982207</v>
      </c>
      <c r="U34" s="12">
        <v>2.1790182867985801</v>
      </c>
      <c r="V34" s="135">
        <f t="shared" si="24"/>
        <v>2</v>
      </c>
      <c r="W34" s="136"/>
      <c r="X34" s="12">
        <f t="shared" si="25"/>
        <v>8.875</v>
      </c>
      <c r="Y34" s="2">
        <f>X34*$B$120</f>
        <v>47462.584062239017</v>
      </c>
      <c r="Z34" s="2">
        <f>VLOOKUP(B34,'UMGF Renewals'!A$4:C$61,3,FALSE)</f>
        <v>0</v>
      </c>
      <c r="AA34" s="2">
        <f t="shared" si="26"/>
        <v>47462.584062239017</v>
      </c>
      <c r="AB34" s="12">
        <v>3.1641722708159299</v>
      </c>
      <c r="AC34" s="141">
        <f t="shared" si="28"/>
        <v>3</v>
      </c>
      <c r="AD34" s="136"/>
    </row>
    <row r="35" spans="1:30" ht="14.4" x14ac:dyDescent="0.3">
      <c r="B35" s="3" t="s">
        <v>31</v>
      </c>
      <c r="C35" s="95">
        <v>0</v>
      </c>
      <c r="D35" s="95">
        <v>0</v>
      </c>
      <c r="E35" s="121">
        <v>0</v>
      </c>
      <c r="F35" s="94"/>
      <c r="G35" s="94"/>
      <c r="H35" s="121">
        <v>0</v>
      </c>
      <c r="I35" s="123">
        <v>0</v>
      </c>
      <c r="J35" s="1">
        <f>((VLOOKUP(B35,'OIA Masters table'!A39:Q230,2,FALSE)+(VLOOKUP(B35,'OIA Masters table'!A39:Q230,4,FALSE))))</f>
        <v>1</v>
      </c>
      <c r="K35" s="81">
        <f>(VLOOKUP(Budget!$B35,'OIA Masters table'!A39:Q231,5,FALSE)+(VLOOKUP(Budget!$B35,'OIA Masters table'!A39:Q231,6,FALSE)))</f>
        <v>0</v>
      </c>
      <c r="L35" s="78">
        <f t="shared" si="21"/>
        <v>1</v>
      </c>
      <c r="P35" s="10">
        <f t="shared" si="27"/>
        <v>1</v>
      </c>
      <c r="Q35" s="12">
        <f t="shared" si="4"/>
        <v>0.5</v>
      </c>
      <c r="R35" s="2">
        <f t="shared" si="22"/>
        <v>1107.8257245698353</v>
      </c>
      <c r="T35" s="2">
        <f t="shared" si="23"/>
        <v>1107.8257245698353</v>
      </c>
      <c r="U35" s="12">
        <v>8.8626057965586799E-2</v>
      </c>
      <c r="V35" s="135">
        <f t="shared" si="24"/>
        <v>0</v>
      </c>
      <c r="W35" s="136"/>
      <c r="X35" s="12">
        <f t="shared" si="25"/>
        <v>0</v>
      </c>
      <c r="Y35" s="2">
        <f>X35*$B$120</f>
        <v>0</v>
      </c>
      <c r="Z35" s="2"/>
      <c r="AA35" s="2">
        <f t="shared" si="26"/>
        <v>0</v>
      </c>
      <c r="AB35" s="12">
        <v>0</v>
      </c>
      <c r="AC35" s="141">
        <f t="shared" si="28"/>
        <v>0</v>
      </c>
      <c r="AD35" s="136"/>
    </row>
    <row r="36" spans="1:30" x14ac:dyDescent="0.25">
      <c r="B36" s="3" t="s">
        <v>32</v>
      </c>
      <c r="C36" s="95">
        <v>6</v>
      </c>
      <c r="D36" s="95">
        <v>5</v>
      </c>
      <c r="E36" s="121">
        <v>5.75</v>
      </c>
      <c r="F36" s="95">
        <v>12</v>
      </c>
      <c r="G36" s="95">
        <v>4</v>
      </c>
      <c r="H36" s="121">
        <v>11.8</v>
      </c>
      <c r="I36" s="123">
        <v>17.55</v>
      </c>
      <c r="J36" s="1">
        <f>((VLOOKUP(B36,'OIA Masters table'!A40:Q231,2,FALSE)+(VLOOKUP(B36,'OIA Masters table'!A40:Q231,4,FALSE))))</f>
        <v>6</v>
      </c>
      <c r="K36" s="81">
        <f>(VLOOKUP(Budget!$B36,'OIA Masters table'!A40:Q232,5,FALSE)+(VLOOKUP(Budget!$B36,'OIA Masters table'!A40:Q232,6,FALSE)))</f>
        <v>4</v>
      </c>
      <c r="L36" s="78">
        <f t="shared" si="21"/>
        <v>5.8</v>
      </c>
      <c r="M36" s="81">
        <f>(VLOOKUP($B36,'OIA PHD_table'!$A$12:$R$129,2,FALSE)+(VLOOKUP($B36,'OIA PHD_table'!$A$12:$R$129,4,FALSE)))</f>
        <v>11</v>
      </c>
      <c r="N36" s="81">
        <f>(VLOOKUP($B36,'OIA PHD_table'!$A$12:$R$129,5,FALSE)+(VLOOKUP($B36,'OIA PHD_table'!$A$12:$R$129,6,FALSE)))</f>
        <v>3</v>
      </c>
      <c r="O36" s="14">
        <f>M36-(N36*$T$1)</f>
        <v>10.85</v>
      </c>
      <c r="P36" s="10">
        <f t="shared" si="27"/>
        <v>16.649999999999999</v>
      </c>
      <c r="Q36" s="12">
        <f t="shared" si="4"/>
        <v>5.7750000000000004</v>
      </c>
      <c r="R36" s="2">
        <f t="shared" si="22"/>
        <v>12795.387118781598</v>
      </c>
      <c r="T36" s="2">
        <f t="shared" si="23"/>
        <v>12795.387118781598</v>
      </c>
      <c r="U36" s="12">
        <v>1.0236309695025301</v>
      </c>
      <c r="V36" s="135">
        <f t="shared" si="24"/>
        <v>1</v>
      </c>
      <c r="W36" s="136"/>
      <c r="X36" s="12">
        <f t="shared" si="25"/>
        <v>11.324999999999999</v>
      </c>
      <c r="Y36" s="2">
        <f>X36*$B$120</f>
        <v>60564.931211814852</v>
      </c>
      <c r="Z36" s="2">
        <f>VLOOKUP(B36,'UMGF Renewals'!A$4:C$61,3,FALSE)</f>
        <v>24000</v>
      </c>
      <c r="AA36" s="2">
        <f t="shared" si="26"/>
        <v>36564.931211814852</v>
      </c>
      <c r="AB36" s="12">
        <v>2.4376620807876601</v>
      </c>
      <c r="AC36" s="141">
        <f t="shared" si="28"/>
        <v>2</v>
      </c>
      <c r="AD36" s="136"/>
    </row>
    <row r="37" spans="1:30" x14ac:dyDescent="0.25">
      <c r="B37" s="3" t="s">
        <v>33</v>
      </c>
      <c r="C37" s="95">
        <v>7</v>
      </c>
      <c r="D37" s="95">
        <v>7</v>
      </c>
      <c r="E37" s="121">
        <v>6.65</v>
      </c>
      <c r="F37" s="95">
        <v>8</v>
      </c>
      <c r="G37" s="95">
        <v>4</v>
      </c>
      <c r="H37" s="121">
        <v>7.8</v>
      </c>
      <c r="I37" s="123">
        <v>14.45</v>
      </c>
      <c r="J37" s="1">
        <f>((VLOOKUP(B37,'OIA Masters table'!A41:Q232,2,FALSE)+(VLOOKUP(B37,'OIA Masters table'!A41:Q232,4,FALSE))))</f>
        <v>5</v>
      </c>
      <c r="K37" s="81">
        <f>(VLOOKUP(Budget!$B37,'OIA Masters table'!A41:Q233,5,FALSE)+(VLOOKUP(Budget!$B37,'OIA Masters table'!A41:Q233,6,FALSE)))</f>
        <v>6</v>
      </c>
      <c r="L37" s="78">
        <f t="shared" si="21"/>
        <v>4.7</v>
      </c>
      <c r="M37" s="81">
        <f>(VLOOKUP($B37,'OIA PHD_table'!$A$12:$R$129,2,FALSE)+(VLOOKUP($B37,'OIA PHD_table'!$A$12:$R$129,4,FALSE)))</f>
        <v>13</v>
      </c>
      <c r="N37" s="81">
        <f>(VLOOKUP($B37,'OIA PHD_table'!$A$12:$R$129,5,FALSE)+(VLOOKUP($B37,'OIA PHD_table'!$A$12:$R$129,6,FALSE)))</f>
        <v>5</v>
      </c>
      <c r="O37" s="14">
        <f>M37-(N37*$T$1)</f>
        <v>12.75</v>
      </c>
      <c r="P37" s="10">
        <f t="shared" si="27"/>
        <v>17.45</v>
      </c>
      <c r="Q37" s="12">
        <f t="shared" si="4"/>
        <v>5.6750000000000007</v>
      </c>
      <c r="R37" s="2">
        <f t="shared" si="22"/>
        <v>12573.821973867633</v>
      </c>
      <c r="T37" s="2">
        <f t="shared" si="23"/>
        <v>12573.821973867633</v>
      </c>
      <c r="U37" s="12">
        <v>1.0059057579094099</v>
      </c>
      <c r="V37" s="135">
        <f t="shared" si="24"/>
        <v>1</v>
      </c>
      <c r="W37" s="136"/>
      <c r="X37" s="12">
        <f t="shared" si="25"/>
        <v>10.275</v>
      </c>
      <c r="Y37" s="2">
        <f>X37*$B$120</f>
        <v>54949.639576282359</v>
      </c>
      <c r="Z37" s="2">
        <f>VLOOKUP(B37,'UMGF Renewals'!A$4:C$61,3,FALSE)</f>
        <v>18000</v>
      </c>
      <c r="AA37" s="2">
        <f t="shared" si="26"/>
        <v>36949.639576282359</v>
      </c>
      <c r="AB37" s="12">
        <v>2.46330930508549</v>
      </c>
      <c r="AC37" s="141">
        <f t="shared" si="28"/>
        <v>2</v>
      </c>
      <c r="AD37" s="136"/>
    </row>
    <row r="38" spans="1:30" ht="14.4" x14ac:dyDescent="0.3">
      <c r="B38" s="3" t="s">
        <v>34</v>
      </c>
      <c r="C38" s="95">
        <v>8</v>
      </c>
      <c r="D38" s="95">
        <v>2</v>
      </c>
      <c r="E38" s="121">
        <v>7.9</v>
      </c>
      <c r="F38" s="94"/>
      <c r="G38" s="94"/>
      <c r="H38" s="121">
        <v>0</v>
      </c>
      <c r="I38" s="123">
        <v>7.9</v>
      </c>
      <c r="J38" s="1">
        <f>((VLOOKUP(B38,'OIA Masters table'!A42:Q233,2,FALSE)+(VLOOKUP(B38,'OIA Masters table'!A42:Q233,4,FALSE))))</f>
        <v>7</v>
      </c>
      <c r="K38" s="81">
        <f>(VLOOKUP(Budget!$B38,'OIA Masters table'!A42:Q234,5,FALSE)+(VLOOKUP(Budget!$B38,'OIA Masters table'!A42:Q234,6,FALSE)))</f>
        <v>3</v>
      </c>
      <c r="L38" s="78">
        <f t="shared" si="21"/>
        <v>6.85</v>
      </c>
      <c r="P38" s="10">
        <f t="shared" si="27"/>
        <v>6.85</v>
      </c>
      <c r="Q38" s="12">
        <f t="shared" si="4"/>
        <v>7.375</v>
      </c>
      <c r="R38" s="2">
        <f t="shared" si="22"/>
        <v>16340.429437405071</v>
      </c>
      <c r="T38" s="2">
        <f t="shared" si="23"/>
        <v>16340.429437405071</v>
      </c>
      <c r="U38" s="12">
        <v>1.3072343549924099</v>
      </c>
      <c r="V38" s="135">
        <f t="shared" si="24"/>
        <v>1</v>
      </c>
      <c r="W38" s="136"/>
      <c r="X38" s="12">
        <f t="shared" si="25"/>
        <v>0</v>
      </c>
      <c r="Z38" s="2"/>
      <c r="AA38" s="2"/>
      <c r="AB38" s="12">
        <v>0</v>
      </c>
      <c r="AC38" s="141">
        <f t="shared" si="28"/>
        <v>0</v>
      </c>
      <c r="AD38" s="136"/>
    </row>
    <row r="39" spans="1:30" ht="14.4" x14ac:dyDescent="0.3">
      <c r="B39" s="3" t="s">
        <v>35</v>
      </c>
      <c r="C39" s="95">
        <v>10</v>
      </c>
      <c r="D39" s="95">
        <v>6</v>
      </c>
      <c r="E39" s="121">
        <v>9.6999999999999993</v>
      </c>
      <c r="F39" s="94"/>
      <c r="G39" s="94"/>
      <c r="H39" s="121">
        <v>0</v>
      </c>
      <c r="I39" s="123">
        <v>9.6999999999999993</v>
      </c>
      <c r="J39" s="1">
        <f>((VLOOKUP(B39,'OIA Masters table'!A43:Q234,2,FALSE)+(VLOOKUP(B39,'OIA Masters table'!A43:Q234,4,FALSE))))</f>
        <v>19</v>
      </c>
      <c r="K39" s="81">
        <f>(VLOOKUP(Budget!$B39,'OIA Masters table'!A43:Q235,5,FALSE)+(VLOOKUP(Budget!$B39,'OIA Masters table'!A43:Q235,6,FALSE)))</f>
        <v>5</v>
      </c>
      <c r="L39" s="78">
        <f t="shared" si="21"/>
        <v>18.75</v>
      </c>
      <c r="P39" s="10">
        <f t="shared" si="27"/>
        <v>18.75</v>
      </c>
      <c r="Q39" s="12">
        <f t="shared" si="4"/>
        <v>14.225</v>
      </c>
      <c r="R39" s="2">
        <f t="shared" si="22"/>
        <v>31517.641864011814</v>
      </c>
      <c r="S39" s="2">
        <f>VLOOKUP(B39,'MGS Renewals'!$A$7:$E$46,2,FALSE)</f>
        <v>20000</v>
      </c>
      <c r="T39" s="2">
        <f t="shared" si="23"/>
        <v>11517.641864011814</v>
      </c>
      <c r="U39" s="12">
        <v>0.92141134912094502</v>
      </c>
      <c r="V39" s="135">
        <f t="shared" si="24"/>
        <v>0</v>
      </c>
      <c r="W39" s="136"/>
      <c r="X39" s="12">
        <f t="shared" si="25"/>
        <v>0</v>
      </c>
      <c r="Z39" s="2"/>
      <c r="AA39" s="2"/>
      <c r="AB39" s="12">
        <v>0</v>
      </c>
      <c r="AC39" s="141">
        <f t="shared" si="28"/>
        <v>0</v>
      </c>
      <c r="AD39" s="136"/>
    </row>
    <row r="40" spans="1:30" x14ac:dyDescent="0.25">
      <c r="B40" s="3" t="s">
        <v>36</v>
      </c>
      <c r="C40" s="95">
        <v>34</v>
      </c>
      <c r="D40" s="95">
        <v>12</v>
      </c>
      <c r="E40" s="121">
        <v>33.4</v>
      </c>
      <c r="F40" s="95">
        <v>30</v>
      </c>
      <c r="G40" s="95">
        <v>23</v>
      </c>
      <c r="H40" s="121">
        <v>28.85</v>
      </c>
      <c r="I40" s="123">
        <v>62.25</v>
      </c>
      <c r="J40" s="1">
        <f>18+20</f>
        <v>38</v>
      </c>
      <c r="K40" s="81">
        <f>(VLOOKUP(Budget!$B40,'OIA Masters table'!A44:Q236,5,FALSE)+(VLOOKUP(Budget!$B40,'OIA Masters table'!A44:Q236,6,FALSE)))-4</f>
        <v>1</v>
      </c>
      <c r="L40" s="78">
        <f t="shared" si="21"/>
        <v>37.950000000000003</v>
      </c>
      <c r="M40" s="81">
        <f>(VLOOKUP($B40,'OIA PHD_table'!$A$12:$R$129,2,FALSE)+(VLOOKUP($B40,'OIA PHD_table'!$A$12:$R$129,4,FALSE)))</f>
        <v>30</v>
      </c>
      <c r="N40" s="81">
        <v>18</v>
      </c>
      <c r="O40" s="14">
        <f>M40-(N40*$T$1)</f>
        <v>29.1</v>
      </c>
      <c r="P40" s="10">
        <f t="shared" si="27"/>
        <v>67.050000000000011</v>
      </c>
      <c r="Q40" s="12">
        <f t="shared" si="4"/>
        <v>35.674999999999997</v>
      </c>
      <c r="R40" s="2">
        <f t="shared" si="22"/>
        <v>79043.365448057739</v>
      </c>
      <c r="S40" s="2">
        <f>VLOOKUP(B40,'MGS Renewals'!$A$7:$E$46,2,FALSE)</f>
        <v>40000</v>
      </c>
      <c r="T40" s="2">
        <f t="shared" si="23"/>
        <v>39043.365448057739</v>
      </c>
      <c r="U40" s="12">
        <v>3.1234692358446199</v>
      </c>
      <c r="V40" s="135">
        <f t="shared" si="24"/>
        <v>3</v>
      </c>
      <c r="W40" s="136"/>
      <c r="X40" s="12">
        <f t="shared" si="25"/>
        <v>28.975000000000001</v>
      </c>
      <c r="Y40" s="2">
        <f>X40*$B$120</f>
        <v>154955.30965671837</v>
      </c>
      <c r="Z40" s="2">
        <f>VLOOKUP(B40,'UMGF Renewals'!A$4:C$61,3,FALSE)</f>
        <v>54000</v>
      </c>
      <c r="AA40" s="2">
        <f t="shared" si="26"/>
        <v>100955.30965671837</v>
      </c>
      <c r="AB40" s="12">
        <v>6.73035397711456</v>
      </c>
      <c r="AC40" s="141">
        <f t="shared" si="28"/>
        <v>6</v>
      </c>
      <c r="AD40" s="136"/>
    </row>
    <row r="41" spans="1:30" ht="14.4" x14ac:dyDescent="0.3">
      <c r="B41" s="3" t="s">
        <v>184</v>
      </c>
      <c r="C41" s="95">
        <v>16</v>
      </c>
      <c r="D41" s="95">
        <v>9</v>
      </c>
      <c r="E41" s="121">
        <v>15.55</v>
      </c>
      <c r="F41" s="94"/>
      <c r="G41" s="94"/>
      <c r="H41" s="121">
        <v>0</v>
      </c>
      <c r="I41" s="123">
        <v>15.55</v>
      </c>
      <c r="J41" s="1">
        <f>((VLOOKUP(B41,'OIA Masters table'!A45:Q236,2,FALSE)+(VLOOKUP(B41,'OIA Masters table'!A45:Q236,4,FALSE))))</f>
        <v>22</v>
      </c>
      <c r="K41" s="81">
        <f>(VLOOKUP(Budget!$B41,'OIA Masters table'!A45:Q237,5,FALSE)+(VLOOKUP(Budget!$B41,'OIA Masters table'!A45:Q237,6,FALSE)))</f>
        <v>7</v>
      </c>
      <c r="L41" s="78">
        <f t="shared" si="21"/>
        <v>21.65</v>
      </c>
      <c r="P41" s="10">
        <f t="shared" si="27"/>
        <v>21.65</v>
      </c>
      <c r="Q41" s="12">
        <f t="shared" si="4"/>
        <v>18.600000000000001</v>
      </c>
      <c r="R41" s="2">
        <f t="shared" si="22"/>
        <v>41211.116953997873</v>
      </c>
      <c r="T41" s="2">
        <f t="shared" si="23"/>
        <v>41211.116953997873</v>
      </c>
      <c r="U41" s="12">
        <v>3.2968893563198298</v>
      </c>
      <c r="V41" s="135">
        <f t="shared" si="24"/>
        <v>3</v>
      </c>
      <c r="W41" s="136"/>
      <c r="X41" s="12">
        <f t="shared" si="25"/>
        <v>0</v>
      </c>
      <c r="Z41" s="2"/>
      <c r="AA41" s="2"/>
      <c r="AB41" s="12">
        <v>0</v>
      </c>
      <c r="AC41" s="141">
        <f t="shared" si="28"/>
        <v>0</v>
      </c>
      <c r="AD41" s="136"/>
    </row>
    <row r="42" spans="1:30" ht="14.4" x14ac:dyDescent="0.3">
      <c r="B42" s="3" t="s">
        <v>185</v>
      </c>
      <c r="C42" s="95">
        <v>7</v>
      </c>
      <c r="D42" s="95">
        <v>1</v>
      </c>
      <c r="E42" s="121">
        <v>6.95</v>
      </c>
      <c r="F42" s="94"/>
      <c r="G42" s="95">
        <v>2</v>
      </c>
      <c r="H42" s="121">
        <v>-0.1</v>
      </c>
      <c r="I42" s="123">
        <v>6.8500000000000005</v>
      </c>
      <c r="J42" s="1">
        <f>((VLOOKUP(B42,'OIA Masters table'!A46:Q237,2,FALSE)+(VLOOKUP(B42,'OIA Masters table'!A46:Q237,4,FALSE))))</f>
        <v>7</v>
      </c>
      <c r="K42" s="81">
        <f>(VLOOKUP(Budget!$B42,'OIA Masters table'!A46:Q238,5,FALSE)+(VLOOKUP(Budget!$B42,'OIA Masters table'!A46:Q238,6,FALSE)))</f>
        <v>1</v>
      </c>
      <c r="L42" s="78">
        <f t="shared" si="21"/>
        <v>6.95</v>
      </c>
      <c r="M42" s="81">
        <f>(VLOOKUP($B42,'OIA PHD_table'!$A$12:$R$129,2,FALSE)+(VLOOKUP($B42,'OIA PHD_table'!$A$12:$R$129,4,FALSE)))</f>
        <v>0</v>
      </c>
      <c r="N42" s="81">
        <f>(VLOOKUP($B42,'OIA PHD_table'!$A$12:$R$129,5,FALSE)+(VLOOKUP($B42,'OIA PHD_table'!$A$12:$R$129,6,FALSE)))</f>
        <v>1</v>
      </c>
      <c r="P42" s="10">
        <f t="shared" si="27"/>
        <v>6.95</v>
      </c>
      <c r="Q42" s="12">
        <f t="shared" si="4"/>
        <v>6.95</v>
      </c>
      <c r="R42" s="2">
        <f t="shared" si="22"/>
        <v>15398.777571520712</v>
      </c>
      <c r="T42" s="2">
        <f t="shared" si="23"/>
        <v>15398.777571520712</v>
      </c>
      <c r="U42" s="12">
        <v>1.23190220572166</v>
      </c>
      <c r="V42" s="135">
        <f t="shared" si="24"/>
        <v>1</v>
      </c>
      <c r="W42" s="136"/>
      <c r="X42" s="12">
        <f t="shared" si="25"/>
        <v>-0.1</v>
      </c>
      <c r="Y42" s="2">
        <f>X42*$B$120</f>
        <v>-534.78967957452414</v>
      </c>
      <c r="Z42" s="2"/>
      <c r="AA42" s="2">
        <f t="shared" si="26"/>
        <v>-534.78967957452414</v>
      </c>
      <c r="AB42" s="12">
        <v>-3.5652645304968297E-2</v>
      </c>
      <c r="AC42" s="141">
        <f t="shared" si="28"/>
        <v>0</v>
      </c>
      <c r="AD42" s="136"/>
    </row>
    <row r="43" spans="1:30" x14ac:dyDescent="0.25">
      <c r="B43" s="3" t="s">
        <v>37</v>
      </c>
      <c r="C43" s="95">
        <v>20</v>
      </c>
      <c r="D43" s="95">
        <v>9</v>
      </c>
      <c r="E43" s="121">
        <v>19.55</v>
      </c>
      <c r="F43" s="95">
        <v>3</v>
      </c>
      <c r="G43" s="95">
        <v>3</v>
      </c>
      <c r="H43" s="121">
        <v>2.85</v>
      </c>
      <c r="I43" s="123">
        <v>22.400000000000002</v>
      </c>
      <c r="J43" s="1">
        <f>((VLOOKUP(B43,'OIA Masters table'!A47:Q238,2,FALSE)+(VLOOKUP(B43,'OIA Masters table'!A47:Q238,4,FALSE))))</f>
        <v>21</v>
      </c>
      <c r="K43" s="81">
        <f>(VLOOKUP(Budget!$B43,'OIA Masters table'!A47:Q239,5,FALSE)+(VLOOKUP(Budget!$B43,'OIA Masters table'!A47:Q239,6,FALSE)))</f>
        <v>6</v>
      </c>
      <c r="L43" s="78">
        <f t="shared" si="21"/>
        <v>20.7</v>
      </c>
      <c r="M43" s="81">
        <f>(VLOOKUP($B43,'OIA PHD_table'!$A$12:$R$129,2,FALSE)+(VLOOKUP($B43,'OIA PHD_table'!$A$12:$R$129,4,FALSE)))</f>
        <v>5</v>
      </c>
      <c r="N43" s="81">
        <f>(VLOOKUP($B43,'OIA PHD_table'!$A$12:$R$129,5,FALSE)+(VLOOKUP($B43,'OIA PHD_table'!$A$12:$R$129,6,FALSE)))</f>
        <v>3</v>
      </c>
      <c r="O43" s="14">
        <f>M43-(N43*$T$1)</f>
        <v>4.8499999999999996</v>
      </c>
      <c r="P43" s="10">
        <f t="shared" si="27"/>
        <v>25.549999999999997</v>
      </c>
      <c r="Q43" s="12">
        <f t="shared" si="4"/>
        <v>20.125</v>
      </c>
      <c r="R43" s="2">
        <f t="shared" si="22"/>
        <v>44589.985413935872</v>
      </c>
      <c r="S43" s="2">
        <f>VLOOKUP(B43,'MGS Renewals'!$A$7:$E$46,2,FALSE)</f>
        <v>85000</v>
      </c>
      <c r="T43" s="2">
        <f t="shared" si="23"/>
        <v>-40410.014586064128</v>
      </c>
      <c r="U43" s="12">
        <v>-3.23280116688513</v>
      </c>
      <c r="V43" s="135">
        <f t="shared" si="24"/>
        <v>-3</v>
      </c>
      <c r="W43" s="136"/>
      <c r="X43" s="12">
        <f t="shared" si="25"/>
        <v>3.8499999999999996</v>
      </c>
      <c r="Y43" s="2">
        <f>X43*$B$120</f>
        <v>20589.402663619177</v>
      </c>
      <c r="Z43" s="2">
        <f>VLOOKUP(B43,'UMGF Renewals'!A$4:C$61,3,FALSE)</f>
        <v>36000</v>
      </c>
      <c r="AA43" s="2">
        <f t="shared" si="26"/>
        <v>-15410.597336380823</v>
      </c>
      <c r="AB43" s="12">
        <v>-1.02737315575872</v>
      </c>
      <c r="AC43" s="141">
        <f t="shared" si="28"/>
        <v>-1</v>
      </c>
      <c r="AD43" s="136"/>
    </row>
    <row r="44" spans="1:30" s="144" customFormat="1" x14ac:dyDescent="0.25">
      <c r="B44" s="145" t="s">
        <v>17</v>
      </c>
      <c r="C44" s="146">
        <f>SUM(C28:C43)</f>
        <v>171</v>
      </c>
      <c r="D44" s="146">
        <f t="shared" ref="D44:I44" si="29">SUM(D28:D43)</f>
        <v>95</v>
      </c>
      <c r="E44" s="146">
        <f t="shared" si="29"/>
        <v>166.25000000000003</v>
      </c>
      <c r="F44" s="146">
        <f t="shared" si="29"/>
        <v>94</v>
      </c>
      <c r="G44" s="146">
        <f t="shared" si="29"/>
        <v>64</v>
      </c>
      <c r="H44" s="146">
        <f t="shared" si="29"/>
        <v>90.799999999999983</v>
      </c>
      <c r="I44" s="147">
        <f t="shared" si="29"/>
        <v>252.05</v>
      </c>
      <c r="J44" s="146">
        <f>SUM(J28:J43)</f>
        <v>181</v>
      </c>
      <c r="K44" s="146">
        <f>SUM(K28:K43)</f>
        <v>74</v>
      </c>
      <c r="L44" s="146">
        <f>SUM(L28:L43)</f>
        <v>177.29999999999998</v>
      </c>
      <c r="M44" s="146">
        <f>SUM(M28:M43)</f>
        <v>99</v>
      </c>
      <c r="N44" s="146">
        <f>SUM(N28:N43)</f>
        <v>51</v>
      </c>
      <c r="O44" s="148">
        <f t="shared" ref="O44:P44" si="30">SUM(O28:O43)</f>
        <v>96.5</v>
      </c>
      <c r="P44" s="151">
        <f t="shared" si="30"/>
        <v>273.8</v>
      </c>
      <c r="Q44" s="148">
        <f t="shared" si="4"/>
        <v>171.77500000000001</v>
      </c>
      <c r="R44" s="149">
        <f>SUM(R28:R43)</f>
        <v>380593.52767596691</v>
      </c>
      <c r="S44" s="149">
        <f>SUM(S28:S43)</f>
        <v>195000</v>
      </c>
      <c r="T44" s="149">
        <f>SUM(T28:T43)</f>
        <v>185593.52767596691</v>
      </c>
      <c r="U44" s="148">
        <f>SUM(U28:U43)</f>
        <v>14.847482214077361</v>
      </c>
      <c r="V44" s="148">
        <f t="shared" ref="V44" si="31">SUM(V28:V43)</f>
        <v>10</v>
      </c>
      <c r="W44" s="148">
        <f>ROUNDUP(U44,0)</f>
        <v>15</v>
      </c>
      <c r="X44" s="148">
        <f>SUM(X28:X43)</f>
        <v>93.600000000000009</v>
      </c>
      <c r="Y44" s="149">
        <f>SUM(Y28:Y43)</f>
        <v>500563.14008175459</v>
      </c>
      <c r="Z44" s="149">
        <f>SUM(Z28:Z43)</f>
        <v>336000</v>
      </c>
      <c r="AA44" s="149">
        <f>SUM(AA28:AA43)</f>
        <v>164563.14008175459</v>
      </c>
      <c r="AB44" s="148">
        <f>SUM(AB28:AB43)</f>
        <v>10.970876005450307</v>
      </c>
      <c r="AC44" s="150">
        <f t="shared" ref="AC44" si="32">SUM(AC28:AC43)</f>
        <v>8</v>
      </c>
      <c r="AD44" s="148">
        <f>ROUND(AB44,0)</f>
        <v>11</v>
      </c>
    </row>
    <row r="45" spans="1:30" x14ac:dyDescent="0.25">
      <c r="R45" s="2"/>
      <c r="W45" s="136"/>
      <c r="X45" s="12"/>
      <c r="Z45" s="2"/>
      <c r="AA45" s="2"/>
      <c r="AB45" s="12"/>
      <c r="AD45" s="136"/>
    </row>
    <row r="46" spans="1:30" x14ac:dyDescent="0.25">
      <c r="A46" s="139" t="s">
        <v>38</v>
      </c>
      <c r="B46" s="56" t="s">
        <v>231</v>
      </c>
      <c r="C46" s="96">
        <v>27</v>
      </c>
      <c r="D46" s="96">
        <v>5</v>
      </c>
      <c r="E46" s="121">
        <v>26.75</v>
      </c>
      <c r="F46" s="96">
        <v>14</v>
      </c>
      <c r="G46" s="96">
        <v>5</v>
      </c>
      <c r="H46" s="121">
        <v>13.75</v>
      </c>
      <c r="I46" s="123">
        <v>40.5</v>
      </c>
      <c r="J46" s="1">
        <f>14+17</f>
        <v>31</v>
      </c>
      <c r="K46" s="81">
        <f>(VLOOKUP(Budget!$B46,'OIA Masters table'!A50:Q242,5,FALSE)+(VLOOKUP(Budget!$B46,'OIA Masters table'!A50:Q242,6,FALSE)))</f>
        <v>3</v>
      </c>
      <c r="L46" s="78">
        <f>J46-(K46*$T$1)</f>
        <v>30.85</v>
      </c>
      <c r="M46" s="81">
        <f>(VLOOKUP($B46,'OIA PHD_table'!$A$12:$R$129,2,FALSE)+(VLOOKUP($B46,'OIA PHD_table'!$A$12:$R$129,4,FALSE)))</f>
        <v>18</v>
      </c>
      <c r="N46" s="81">
        <f>(VLOOKUP($B46,'OIA PHD_table'!$A$12:$R$129,5,FALSE)+(VLOOKUP($B46,'OIA PHD_table'!$A$12:$R$129,6,FALSE)))</f>
        <v>5</v>
      </c>
      <c r="O46" s="14">
        <f>M46-(N46*$T$1)</f>
        <v>17.75</v>
      </c>
      <c r="P46" s="10">
        <f t="shared" ref="P46" si="33">L46+O46</f>
        <v>48.6</v>
      </c>
      <c r="Q46" s="12">
        <f t="shared" si="4"/>
        <v>28.8</v>
      </c>
      <c r="R46" s="2">
        <f>Q46*$B$129</f>
        <v>63810.761735222513</v>
      </c>
      <c r="S46" s="2">
        <f>VLOOKUP(B46,'MGS Renewals'!$A$7:$E$46,2,FALSE)</f>
        <v>40000</v>
      </c>
      <c r="T46" s="2">
        <f t="shared" ref="T46" si="34">R46-S46</f>
        <v>23810.761735222513</v>
      </c>
      <c r="U46" s="12">
        <v>1.9048609388177999</v>
      </c>
      <c r="V46" s="135">
        <f t="shared" ref="V46" si="35">ROUNDDOWN(U46,0)</f>
        <v>1</v>
      </c>
      <c r="W46" s="136"/>
      <c r="X46" s="12">
        <f t="shared" ref="X46" si="36">AVERAGE(H46,O46)</f>
        <v>15.75</v>
      </c>
      <c r="Y46" s="2">
        <f>X46*$B$120</f>
        <v>84229.374532987553</v>
      </c>
      <c r="Z46" s="2">
        <f>VLOOKUP(B46,'UMGF Renewals'!A$4:C$61,3,FALSE)</f>
        <v>36000</v>
      </c>
      <c r="AA46" s="2">
        <f t="shared" ref="AA46" si="37">Y46-Z46</f>
        <v>48229.374532987553</v>
      </c>
      <c r="AB46" s="12">
        <v>3.2152916355325001</v>
      </c>
      <c r="AC46" s="141">
        <f t="shared" ref="AC46" si="38">ROUNDDOWN(AB46,0)</f>
        <v>3</v>
      </c>
      <c r="AD46" s="136"/>
    </row>
    <row r="47" spans="1:30" s="5" customFormat="1" x14ac:dyDescent="0.25">
      <c r="B47" s="145" t="s">
        <v>17</v>
      </c>
      <c r="C47" s="146">
        <f>SUM(C46)</f>
        <v>27</v>
      </c>
      <c r="D47" s="146">
        <f t="shared" ref="D47:I47" si="39">SUM(D46)</f>
        <v>5</v>
      </c>
      <c r="E47" s="146">
        <f t="shared" si="39"/>
        <v>26.75</v>
      </c>
      <c r="F47" s="146">
        <f t="shared" si="39"/>
        <v>14</v>
      </c>
      <c r="G47" s="146">
        <f t="shared" si="39"/>
        <v>5</v>
      </c>
      <c r="H47" s="146">
        <f t="shared" si="39"/>
        <v>13.75</v>
      </c>
      <c r="I47" s="147">
        <f t="shared" si="39"/>
        <v>40.5</v>
      </c>
      <c r="J47" s="146">
        <f t="shared" ref="J47:P47" si="40">SUM(J46)</f>
        <v>31</v>
      </c>
      <c r="K47" s="146">
        <f t="shared" si="40"/>
        <v>3</v>
      </c>
      <c r="L47" s="146">
        <f t="shared" si="40"/>
        <v>30.85</v>
      </c>
      <c r="M47" s="146">
        <f t="shared" si="40"/>
        <v>18</v>
      </c>
      <c r="N47" s="146">
        <f t="shared" si="40"/>
        <v>5</v>
      </c>
      <c r="O47" s="148">
        <f t="shared" si="40"/>
        <v>17.75</v>
      </c>
      <c r="P47" s="151">
        <f t="shared" si="40"/>
        <v>48.6</v>
      </c>
      <c r="Q47" s="148">
        <f t="shared" si="4"/>
        <v>28.8</v>
      </c>
      <c r="R47" s="149">
        <f>SUM(R46)</f>
        <v>63810.761735222513</v>
      </c>
      <c r="S47" s="149">
        <f>SUM(S46)</f>
        <v>40000</v>
      </c>
      <c r="T47" s="149">
        <v>45963.203611138815</v>
      </c>
      <c r="U47" s="148">
        <f>SUM(U46)</f>
        <v>1.9048609388177999</v>
      </c>
      <c r="V47" s="148">
        <f>SUM(V46)</f>
        <v>1</v>
      </c>
      <c r="W47" s="148">
        <f>ROUNDUP(U47,0)</f>
        <v>2</v>
      </c>
      <c r="X47" s="148">
        <f t="shared" ref="X47:AC47" si="41">SUM(X46)</f>
        <v>15.75</v>
      </c>
      <c r="Y47" s="149">
        <f t="shared" si="41"/>
        <v>84229.374532987553</v>
      </c>
      <c r="Z47" s="149">
        <f t="shared" si="41"/>
        <v>36000</v>
      </c>
      <c r="AA47" s="149">
        <f t="shared" si="41"/>
        <v>48229.374532987553</v>
      </c>
      <c r="AB47" s="148">
        <f>SUM(AB46)</f>
        <v>3.2152916355325001</v>
      </c>
      <c r="AC47" s="150">
        <f t="shared" si="41"/>
        <v>3</v>
      </c>
      <c r="AD47" s="148">
        <f>ROUNDUP(AB47,0)</f>
        <v>4</v>
      </c>
    </row>
    <row r="48" spans="1:30" x14ac:dyDescent="0.25">
      <c r="R48" s="2"/>
      <c r="W48" s="136"/>
      <c r="X48" s="12"/>
      <c r="Z48" s="2"/>
      <c r="AA48" s="2"/>
      <c r="AB48" s="12"/>
      <c r="AD48" s="136"/>
    </row>
    <row r="49" spans="1:30" ht="14.4" x14ac:dyDescent="0.3">
      <c r="A49" s="139" t="s">
        <v>39</v>
      </c>
      <c r="B49" s="3" t="s">
        <v>40</v>
      </c>
      <c r="C49" s="98">
        <v>7</v>
      </c>
      <c r="D49" s="98">
        <v>12</v>
      </c>
      <c r="E49" s="121">
        <v>6.4</v>
      </c>
      <c r="F49" s="97"/>
      <c r="G49" s="97"/>
      <c r="H49" s="122"/>
      <c r="I49" s="123">
        <v>6.4</v>
      </c>
      <c r="J49" s="1">
        <f>((VLOOKUP($B49,'OIA Masters table'!A53:Q244,2,FALSE)+(VLOOKUP($B49,'OIA Masters table'!A53:Q244,4,FALSE))))</f>
        <v>17</v>
      </c>
      <c r="K49" s="81">
        <f>(VLOOKUP(Budget!$B49,'OIA Masters table'!A53:Q245,5,FALSE)+(VLOOKUP(Budget!$B49,'OIA Masters table'!A53:Q245,6,FALSE)))</f>
        <v>10</v>
      </c>
      <c r="L49" s="78">
        <f>J49-(K49*$T$1)</f>
        <v>16.5</v>
      </c>
      <c r="P49" s="10">
        <f t="shared" ref="P49:P51" si="42">L49+O49</f>
        <v>16.5</v>
      </c>
      <c r="Q49" s="12">
        <f t="shared" si="4"/>
        <v>11.45</v>
      </c>
      <c r="R49" s="2">
        <f>Q49*$B$129</f>
        <v>25369.209092649227</v>
      </c>
      <c r="T49" s="2">
        <f t="shared" ref="T49:T51" si="43">R49-S49</f>
        <v>25369.209092649227</v>
      </c>
      <c r="U49" s="12">
        <v>2.0295367274119398</v>
      </c>
      <c r="V49" s="135">
        <f t="shared" ref="V49:V51" si="44">ROUNDDOWN(U49,0)</f>
        <v>2</v>
      </c>
      <c r="W49" s="136"/>
      <c r="X49" s="12"/>
      <c r="Z49" s="2"/>
      <c r="AA49" s="2"/>
      <c r="AB49" s="12">
        <v>0</v>
      </c>
      <c r="AC49" s="141">
        <f t="shared" ref="AC49:AC51" si="45">ROUNDDOWN(AB49,0)</f>
        <v>0</v>
      </c>
      <c r="AD49" s="136"/>
    </row>
    <row r="50" spans="1:30" ht="14.4" x14ac:dyDescent="0.3">
      <c r="B50" s="3" t="s">
        <v>41</v>
      </c>
      <c r="C50" s="98">
        <v>22</v>
      </c>
      <c r="D50" s="98">
        <v>10</v>
      </c>
      <c r="E50" s="121">
        <v>21.5</v>
      </c>
      <c r="F50" s="97"/>
      <c r="G50" s="97"/>
      <c r="H50" s="122"/>
      <c r="I50" s="123">
        <v>21.5</v>
      </c>
      <c r="J50" s="1">
        <f>((VLOOKUP($B50,'OIA Masters table'!A54:Q245,2,FALSE)+(VLOOKUP($B50,'OIA Masters table'!A54:Q245,4,FALSE))))</f>
        <v>30</v>
      </c>
      <c r="K50" s="81">
        <f>(VLOOKUP(Budget!$B50,'OIA Masters table'!A54:Q246,5,FALSE)+(VLOOKUP(Budget!$B50,'OIA Masters table'!A54:Q246,6,FALSE)))</f>
        <v>28</v>
      </c>
      <c r="L50" s="78">
        <f>J50-(K50*$T$1)</f>
        <v>28.6</v>
      </c>
      <c r="P50" s="10">
        <f t="shared" si="42"/>
        <v>28.6</v>
      </c>
      <c r="Q50" s="12">
        <f t="shared" si="4"/>
        <v>25.05</v>
      </c>
      <c r="R50" s="2">
        <f>Q50*$B$129</f>
        <v>55502.068800948749</v>
      </c>
      <c r="S50" s="2">
        <f>VLOOKUP(B50,'MGS Renewals'!$A$7:$E$46,2,FALSE)</f>
        <v>20000</v>
      </c>
      <c r="T50" s="2">
        <f t="shared" si="43"/>
        <v>35502.068800948749</v>
      </c>
      <c r="U50" s="12">
        <v>2.8401655040759</v>
      </c>
      <c r="V50" s="135">
        <f t="shared" si="44"/>
        <v>2</v>
      </c>
      <c r="W50" s="136"/>
      <c r="X50" s="12"/>
      <c r="Z50" s="2"/>
      <c r="AA50" s="2"/>
      <c r="AB50" s="12">
        <v>0</v>
      </c>
      <c r="AC50" s="141">
        <f t="shared" si="45"/>
        <v>0</v>
      </c>
      <c r="AD50" s="136"/>
    </row>
    <row r="51" spans="1:30" ht="14.4" x14ac:dyDescent="0.3">
      <c r="B51" s="72" t="s">
        <v>39</v>
      </c>
      <c r="C51" s="97"/>
      <c r="D51" s="97"/>
      <c r="E51" s="121">
        <v>0</v>
      </c>
      <c r="F51" s="98">
        <v>22</v>
      </c>
      <c r="G51" s="98">
        <v>23</v>
      </c>
      <c r="H51" s="121">
        <v>20.85</v>
      </c>
      <c r="I51" s="123">
        <v>20.85</v>
      </c>
      <c r="M51" s="81">
        <f>(VLOOKUP($B51,'OIA PHD_table'!$A$12:$R$129,2,FALSE)+(VLOOKUP($B51,'OIA PHD_table'!$A$12:$R$129,4,FALSE)))</f>
        <v>23</v>
      </c>
      <c r="N51" s="81">
        <f>(VLOOKUP($B51,'OIA PHD_table'!$A$12:$R$129,5,FALSE)+(VLOOKUP($B51,'OIA PHD_table'!$A$12:$R$129,6,FALSE)))</f>
        <v>23</v>
      </c>
      <c r="O51" s="14">
        <f>M51-(N51*$T$1)</f>
        <v>21.85</v>
      </c>
      <c r="P51" s="10">
        <f t="shared" si="42"/>
        <v>21.85</v>
      </c>
      <c r="Q51" s="12">
        <f t="shared" si="4"/>
        <v>0</v>
      </c>
      <c r="R51" s="2"/>
      <c r="T51" s="2">
        <f t="shared" si="43"/>
        <v>0</v>
      </c>
      <c r="U51" s="12">
        <v>0</v>
      </c>
      <c r="V51" s="135">
        <f t="shared" si="44"/>
        <v>0</v>
      </c>
      <c r="W51" s="136"/>
      <c r="X51" s="12">
        <f t="shared" ref="X51" si="46">AVERAGE(H51,O51)</f>
        <v>21.35</v>
      </c>
      <c r="Y51" s="2">
        <f>X51*$B$120</f>
        <v>114177.59658916091</v>
      </c>
      <c r="Z51" s="2">
        <f>VLOOKUP(B51,'UMGF Renewals'!A$4:C$61,3,FALSE)</f>
        <v>84000</v>
      </c>
      <c r="AA51" s="2">
        <f t="shared" ref="AA51" si="47">Y51-Z51</f>
        <v>30177.596589160908</v>
      </c>
      <c r="AB51" s="12">
        <v>2.0118397726107302</v>
      </c>
      <c r="AC51" s="141">
        <f t="shared" si="45"/>
        <v>2</v>
      </c>
      <c r="AD51" s="136"/>
    </row>
    <row r="52" spans="1:30" s="5" customFormat="1" x14ac:dyDescent="0.25">
      <c r="B52" s="145" t="s">
        <v>17</v>
      </c>
      <c r="C52" s="146">
        <f>SUM(C49:C51)</f>
        <v>29</v>
      </c>
      <c r="D52" s="146">
        <f t="shared" ref="D52:I52" si="48">SUM(D49:D51)</f>
        <v>22</v>
      </c>
      <c r="E52" s="146">
        <f t="shared" si="48"/>
        <v>27.9</v>
      </c>
      <c r="F52" s="146">
        <f t="shared" si="48"/>
        <v>22</v>
      </c>
      <c r="G52" s="146">
        <f t="shared" si="48"/>
        <v>23</v>
      </c>
      <c r="H52" s="146">
        <f t="shared" si="48"/>
        <v>20.85</v>
      </c>
      <c r="I52" s="147">
        <f t="shared" si="48"/>
        <v>48.75</v>
      </c>
      <c r="J52" s="146">
        <f>SUM(J49:J50)</f>
        <v>47</v>
      </c>
      <c r="K52" s="146">
        <f>SUM(K49:K50)</f>
        <v>38</v>
      </c>
      <c r="L52" s="146">
        <f>SUM(L49:L50)</f>
        <v>45.1</v>
      </c>
      <c r="M52" s="148">
        <f t="shared" ref="M52:N52" si="49">SUM(M49:M51)</f>
        <v>23</v>
      </c>
      <c r="N52" s="148">
        <f t="shared" si="49"/>
        <v>23</v>
      </c>
      <c r="O52" s="148">
        <f>SUM(O49:O51)</f>
        <v>21.85</v>
      </c>
      <c r="P52" s="151">
        <f>SUM(P49:P51)</f>
        <v>66.95</v>
      </c>
      <c r="Q52" s="148">
        <f t="shared" si="4"/>
        <v>36.5</v>
      </c>
      <c r="R52" s="149">
        <f>SUM(R49:R51)</f>
        <v>80871.277893597973</v>
      </c>
      <c r="S52" s="149">
        <f t="shared" ref="S52" si="50">SUM(S49:S50)</f>
        <v>20000</v>
      </c>
      <c r="T52" s="149">
        <f>SUM(T49:T51)</f>
        <v>60871.277893597973</v>
      </c>
      <c r="U52" s="148">
        <f t="shared" ref="U52:V52" si="51">SUM(U49:U50)</f>
        <v>4.8697022314878398</v>
      </c>
      <c r="V52" s="148">
        <f t="shared" si="51"/>
        <v>4</v>
      </c>
      <c r="W52" s="148">
        <f>ROUNDUP(U52,0)</f>
        <v>5</v>
      </c>
      <c r="X52" s="148">
        <f>SUM(X51)</f>
        <v>21.35</v>
      </c>
      <c r="Y52" s="149">
        <f>SUM(Y49:Y51)</f>
        <v>114177.59658916091</v>
      </c>
      <c r="Z52" s="149">
        <f>SUM(Z49:Z51)</f>
        <v>84000</v>
      </c>
      <c r="AA52" s="149">
        <f>SUM(AA51)</f>
        <v>30177.596589160908</v>
      </c>
      <c r="AB52" s="148">
        <f>SUM(AB49:AB51)</f>
        <v>2.0118397726107302</v>
      </c>
      <c r="AC52" s="150">
        <f>SUM(AC49:AC51)</f>
        <v>2</v>
      </c>
      <c r="AD52" s="148">
        <f>ROUND(AB52,0)</f>
        <v>2</v>
      </c>
    </row>
    <row r="53" spans="1:30" x14ac:dyDescent="0.25">
      <c r="R53" s="2"/>
      <c r="W53" s="136"/>
      <c r="X53" s="12"/>
      <c r="Z53" s="2"/>
      <c r="AA53" s="2"/>
      <c r="AB53" s="12"/>
      <c r="AD53" s="136"/>
    </row>
    <row r="54" spans="1:30" x14ac:dyDescent="0.25">
      <c r="A54" s="139" t="s">
        <v>42</v>
      </c>
      <c r="B54" s="3" t="s">
        <v>43</v>
      </c>
      <c r="C54" s="99">
        <v>44</v>
      </c>
      <c r="D54" s="99">
        <v>15</v>
      </c>
      <c r="E54" s="121">
        <v>43.25</v>
      </c>
      <c r="F54" s="99">
        <v>25</v>
      </c>
      <c r="G54" s="99">
        <v>12</v>
      </c>
      <c r="H54" s="121">
        <v>24.4</v>
      </c>
      <c r="I54" s="123">
        <v>67.650000000000006</v>
      </c>
      <c r="J54" s="1">
        <f>((VLOOKUP(B54,'OIA Masters table'!A58:Q249,2,FALSE)+(VLOOKUP(B54,'OIA Masters table'!A58:Q249,4,FALSE))))</f>
        <v>47</v>
      </c>
      <c r="K54" s="81">
        <f>(VLOOKUP(Budget!$B54,'OIA Masters table'!A58:Q250,5,FALSE)+(VLOOKUP(Budget!$B54,'OIA Masters table'!A58:Q250,6,FALSE)))</f>
        <v>21</v>
      </c>
      <c r="L54" s="78">
        <f>J54-(K54*$T$1)</f>
        <v>45.95</v>
      </c>
      <c r="M54" s="81">
        <f>(VLOOKUP($B54,'OIA PHD_table'!$A$12:$R$129,2,FALSE)+(VLOOKUP($B54,'OIA PHD_table'!$A$12:$R$129,4,FALSE)))</f>
        <v>26</v>
      </c>
      <c r="N54" s="81">
        <f>(VLOOKUP($B54,'OIA PHD_table'!$A$12:$R$129,5,FALSE)+(VLOOKUP($B54,'OIA PHD_table'!$A$12:$R$129,6,FALSE)))</f>
        <v>13</v>
      </c>
      <c r="O54" s="14">
        <f>M54-(N54*$T$1)</f>
        <v>25.35</v>
      </c>
      <c r="P54" s="10">
        <f t="shared" ref="P54:P56" si="52">L54+O54</f>
        <v>71.300000000000011</v>
      </c>
      <c r="Q54" s="12">
        <f t="shared" si="4"/>
        <v>44.6</v>
      </c>
      <c r="R54" s="2">
        <f>Q54*$B$129</f>
        <v>98818.054631629318</v>
      </c>
      <c r="S54" s="2">
        <f>VLOOKUP(B54,'MGS Renewals'!$A$7:$E$46,2,FALSE)</f>
        <v>25000</v>
      </c>
      <c r="T54" s="2">
        <f t="shared" ref="T54" si="53">R54-S54</f>
        <v>73818.054631629318</v>
      </c>
      <c r="U54" s="12">
        <v>5.9054443705303497</v>
      </c>
      <c r="V54" s="135">
        <f t="shared" ref="V54:V56" si="54">ROUNDDOWN(U54,0)</f>
        <v>5</v>
      </c>
      <c r="W54" s="136"/>
      <c r="X54" s="12">
        <f t="shared" ref="X54:X56" si="55">AVERAGE(H54,O54)</f>
        <v>24.875</v>
      </c>
      <c r="Y54" s="2">
        <f>X54*$B$120</f>
        <v>133028.93279416289</v>
      </c>
      <c r="Z54" s="2">
        <f>VLOOKUP(B54,'UMGF Renewals'!A$4:C$61,3,FALSE)</f>
        <v>96000</v>
      </c>
      <c r="AA54" s="2">
        <f t="shared" ref="AA54:AA56" si="56">Y54-Z54</f>
        <v>37028.932794162887</v>
      </c>
      <c r="AB54" s="12">
        <v>2.4685955196108602</v>
      </c>
      <c r="AC54" s="141">
        <f t="shared" ref="AC54:AC56" si="57">ROUNDDOWN(AB54,0)</f>
        <v>2</v>
      </c>
      <c r="AD54" s="136"/>
    </row>
    <row r="55" spans="1:30" x14ac:dyDescent="0.25">
      <c r="B55" s="3" t="s">
        <v>44</v>
      </c>
      <c r="C55" s="99">
        <v>52</v>
      </c>
      <c r="D55" s="99">
        <v>5</v>
      </c>
      <c r="E55" s="121">
        <v>51.75</v>
      </c>
      <c r="F55" s="99">
        <v>75</v>
      </c>
      <c r="G55" s="99">
        <v>18</v>
      </c>
      <c r="H55" s="121">
        <v>74.099999999999994</v>
      </c>
      <c r="I55" s="123">
        <v>125.85</v>
      </c>
      <c r="J55" s="1">
        <f>((VLOOKUP(B55,'OIA Masters table'!A59:Q250,2,FALSE)+(VLOOKUP(B55,'OIA Masters table'!A59:Q250,4,FALSE))))</f>
        <v>48</v>
      </c>
      <c r="K55" s="81">
        <f>(VLOOKUP(Budget!$B55,'OIA Masters table'!A59:Q251,5,FALSE)+(VLOOKUP(Budget!$B55,'OIA Masters table'!A59:Q251,6,FALSE)))</f>
        <v>25</v>
      </c>
      <c r="L55" s="78">
        <f>J55-(K55*$T$1)</f>
        <v>46.75</v>
      </c>
      <c r="M55" s="81">
        <f>(VLOOKUP($B55,'OIA PHD_table'!$A$12:$R$129,2,FALSE)+(VLOOKUP($B55,'OIA PHD_table'!$A$12:$R$129,4,FALSE)))</f>
        <v>69</v>
      </c>
      <c r="N55" s="81">
        <f>(VLOOKUP($B55,'OIA PHD_table'!$A$12:$R$129,5,FALSE)+(VLOOKUP($B55,'OIA PHD_table'!$A$12:$R$129,6,FALSE)))</f>
        <v>30</v>
      </c>
      <c r="O55" s="14">
        <f>M55-(N55*$T$1)</f>
        <v>67.5</v>
      </c>
      <c r="P55" s="10">
        <f t="shared" si="52"/>
        <v>114.25</v>
      </c>
      <c r="Q55" s="12">
        <f t="shared" si="4"/>
        <v>49.25</v>
      </c>
      <c r="R55" s="2">
        <f>Q55*$B$129</f>
        <v>109120.83387012877</v>
      </c>
      <c r="S55" s="2">
        <f>VLOOKUP(B55,'MGS Renewals'!$A$7:$E$46,2,FALSE)</f>
        <v>50000</v>
      </c>
      <c r="T55" s="2">
        <f t="shared" ref="T55:T56" si="58">R55-S55</f>
        <v>59120.833870128772</v>
      </c>
      <c r="U55" s="12">
        <v>4.7296667096103002</v>
      </c>
      <c r="V55" s="135">
        <f t="shared" si="54"/>
        <v>4</v>
      </c>
      <c r="W55" s="136"/>
      <c r="X55" s="12">
        <f t="shared" si="55"/>
        <v>70.8</v>
      </c>
      <c r="Y55" s="2">
        <f>X55*$B$120</f>
        <v>378631.0931387631</v>
      </c>
      <c r="Z55" s="2">
        <f>VLOOKUP(B55,'UMGF Renewals'!A$4:C$61,3,FALSE)</f>
        <v>192000</v>
      </c>
      <c r="AA55" s="2">
        <f t="shared" si="56"/>
        <v>186631.0931387631</v>
      </c>
      <c r="AB55" s="12">
        <v>12.4420728759175</v>
      </c>
      <c r="AC55" s="141">
        <f t="shared" si="57"/>
        <v>12</v>
      </c>
      <c r="AD55" s="136"/>
    </row>
    <row r="56" spans="1:30" x14ac:dyDescent="0.25">
      <c r="B56" s="3" t="s">
        <v>91</v>
      </c>
      <c r="C56" s="99">
        <v>52</v>
      </c>
      <c r="D56" s="99">
        <v>5</v>
      </c>
      <c r="E56" s="121">
        <v>51.75</v>
      </c>
      <c r="F56" s="99">
        <v>45</v>
      </c>
      <c r="G56" s="99">
        <v>25</v>
      </c>
      <c r="H56" s="121">
        <v>43.75</v>
      </c>
      <c r="I56" s="123">
        <v>95.5</v>
      </c>
      <c r="J56" s="1">
        <f>((VLOOKUP(B56,'OIA Masters table'!A60:Q251,2,FALSE)+(VLOOKUP(B56,'OIA Masters table'!A60:Q251,4,FALSE))))</f>
        <v>51</v>
      </c>
      <c r="K56" s="81">
        <f>(VLOOKUP(Budget!$B56,'OIA Masters table'!A60:Q252,5,FALSE)+(VLOOKUP(Budget!$B56,'OIA Masters table'!A60:Q252,6,FALSE)))</f>
        <v>20</v>
      </c>
      <c r="L56" s="78">
        <f>J56-(K56*$T$1)</f>
        <v>50</v>
      </c>
      <c r="M56" s="81">
        <f>(VLOOKUP($B56,'OIA PHD_table'!$A$12:$R$129,2,FALSE)+(VLOOKUP($B56,'OIA PHD_table'!$A$12:$R$129,4,FALSE)))</f>
        <v>50</v>
      </c>
      <c r="N56" s="81">
        <f>(VLOOKUP($B56,'OIA PHD_table'!$A$12:$R$129,5,FALSE)+(VLOOKUP($B56,'OIA PHD_table'!$A$12:$R$129,6,FALSE)))</f>
        <v>21</v>
      </c>
      <c r="O56" s="14">
        <f>M56-(N56*$T$1)</f>
        <v>48.95</v>
      </c>
      <c r="P56" s="10">
        <f t="shared" si="52"/>
        <v>98.95</v>
      </c>
      <c r="Q56" s="12">
        <f t="shared" si="4"/>
        <v>50.875</v>
      </c>
      <c r="R56" s="2">
        <f>Q56*$B$129</f>
        <v>112721.26747498075</v>
      </c>
      <c r="S56" s="2">
        <f>VLOOKUP(B56,'MGS Renewals'!$A$7:$E$46,2,FALSE)</f>
        <v>50000</v>
      </c>
      <c r="T56" s="2">
        <f t="shared" si="58"/>
        <v>62721.267474980748</v>
      </c>
      <c r="U56" s="12">
        <v>5.0177013979984597</v>
      </c>
      <c r="V56" s="135">
        <f t="shared" si="54"/>
        <v>5</v>
      </c>
      <c r="W56" s="136"/>
      <c r="X56" s="12">
        <f t="shared" si="55"/>
        <v>46.35</v>
      </c>
      <c r="Y56" s="2">
        <f>X56*$B$120</f>
        <v>247875.01648279195</v>
      </c>
      <c r="Z56" s="2">
        <f>VLOOKUP(B56,'UMGF Renewals'!A$4:C$61,3,FALSE)</f>
        <v>108000</v>
      </c>
      <c r="AA56" s="2">
        <f t="shared" si="56"/>
        <v>139875.01648279195</v>
      </c>
      <c r="AB56" s="12">
        <v>9.3250010988528</v>
      </c>
      <c r="AC56" s="141">
        <f t="shared" si="57"/>
        <v>9</v>
      </c>
      <c r="AD56" s="136"/>
    </row>
    <row r="57" spans="1:30" s="5" customFormat="1" x14ac:dyDescent="0.25">
      <c r="B57" s="145" t="s">
        <v>17</v>
      </c>
      <c r="C57" s="146">
        <f>SUM(C54:C56)</f>
        <v>148</v>
      </c>
      <c r="D57" s="146">
        <f t="shared" ref="D57:I57" si="59">SUM(D54:D56)</f>
        <v>25</v>
      </c>
      <c r="E57" s="146">
        <f t="shared" si="59"/>
        <v>146.75</v>
      </c>
      <c r="F57" s="146">
        <f t="shared" si="59"/>
        <v>145</v>
      </c>
      <c r="G57" s="146">
        <f t="shared" si="59"/>
        <v>55</v>
      </c>
      <c r="H57" s="146">
        <f t="shared" si="59"/>
        <v>142.25</v>
      </c>
      <c r="I57" s="147">
        <f t="shared" si="59"/>
        <v>289</v>
      </c>
      <c r="J57" s="146">
        <f>SUM(J54:J56)</f>
        <v>146</v>
      </c>
      <c r="K57" s="146">
        <f>SUM(K54:K56)</f>
        <v>66</v>
      </c>
      <c r="L57" s="146">
        <f>SUM(L54:L56)</f>
        <v>142.69999999999999</v>
      </c>
      <c r="M57" s="146">
        <f>SUM(M54:M56)</f>
        <v>145</v>
      </c>
      <c r="N57" s="146">
        <f>SUM(N54:N56)</f>
        <v>64</v>
      </c>
      <c r="O57" s="148">
        <f t="shared" ref="O57:P57" si="60">SUM(O54:O56)</f>
        <v>141.80000000000001</v>
      </c>
      <c r="P57" s="147">
        <f t="shared" si="60"/>
        <v>284.5</v>
      </c>
      <c r="Q57" s="148">
        <f t="shared" si="4"/>
        <v>144.72499999999999</v>
      </c>
      <c r="R57" s="149">
        <f>SUM(R54:R56)</f>
        <v>320660.15597673884</v>
      </c>
      <c r="S57" s="149">
        <f>SUM(S54:S56)</f>
        <v>125000</v>
      </c>
      <c r="T57" s="149">
        <f>SUM(T54:T56)</f>
        <v>195660.15597673884</v>
      </c>
      <c r="U57" s="148">
        <f>SUM(U54:U56)</f>
        <v>15.65281247813911</v>
      </c>
      <c r="V57" s="148">
        <f t="shared" ref="V57" si="61">SUM(V54:V56)</f>
        <v>14</v>
      </c>
      <c r="W57" s="148">
        <f>ROUNDUP(U57,0)</f>
        <v>16</v>
      </c>
      <c r="X57" s="148">
        <f>SUM(X54:X56)</f>
        <v>142.02500000000001</v>
      </c>
      <c r="Y57" s="149">
        <f>SUM(Y54:Y56)</f>
        <v>759535.04241571797</v>
      </c>
      <c r="Z57" s="149">
        <f>SUM(Z54:Z56)</f>
        <v>396000</v>
      </c>
      <c r="AA57" s="149">
        <f>SUM(AA54:AA56)</f>
        <v>363535.04241571797</v>
      </c>
      <c r="AB57" s="148">
        <f>SUM(AB54:AB56)</f>
        <v>24.23566949438116</v>
      </c>
      <c r="AC57" s="150">
        <f t="shared" ref="AC57" si="62">SUM(AC54:AC56)</f>
        <v>23</v>
      </c>
      <c r="AD57" s="148">
        <f>ROUNDUP(AB57,0)</f>
        <v>25</v>
      </c>
    </row>
    <row r="58" spans="1:30" x14ac:dyDescent="0.25">
      <c r="R58" s="2"/>
      <c r="W58" s="136"/>
      <c r="X58" s="12"/>
      <c r="Z58" s="2"/>
      <c r="AA58" s="2"/>
      <c r="AB58" s="12"/>
      <c r="AD58" s="136"/>
    </row>
    <row r="59" spans="1:30" ht="14.4" x14ac:dyDescent="0.3">
      <c r="A59" s="139" t="s">
        <v>45</v>
      </c>
      <c r="B59" s="3" t="s">
        <v>46</v>
      </c>
      <c r="C59" s="101">
        <v>25</v>
      </c>
      <c r="D59" s="101">
        <v>15</v>
      </c>
      <c r="E59" s="121">
        <v>24.25</v>
      </c>
      <c r="F59" s="100"/>
      <c r="G59" s="100"/>
      <c r="H59" s="122"/>
      <c r="I59" s="123">
        <v>24.25</v>
      </c>
      <c r="J59" s="1">
        <f>((VLOOKUP(B59,'OIA Masters table'!A63:Q254,2,FALSE)+(VLOOKUP(B59,'OIA Masters table'!A63:Q254,4,FALSE))))</f>
        <v>28</v>
      </c>
      <c r="K59" s="81">
        <f>(VLOOKUP(Budget!$B59,'OIA Masters table'!A63:Q255,5,FALSE)+(VLOOKUP(Budget!$B59,'OIA Masters table'!A63:Q255,6,FALSE)))</f>
        <v>13</v>
      </c>
      <c r="L59" s="78">
        <f>J59-(K59*$T$1)</f>
        <v>27.35</v>
      </c>
      <c r="M59" s="81">
        <f>(VLOOKUP($B59,'OIA PHD_table'!$A$12:$R$129,2,FALSE)+(VLOOKUP($B59,'OIA PHD_table'!$A$12:$R$129,4,FALSE)))</f>
        <v>13</v>
      </c>
      <c r="N59" s="81">
        <f>(VLOOKUP($B59,'OIA PHD_table'!$A$12:$R$129,5,FALSE)+(VLOOKUP($B59,'OIA PHD_table'!$A$12:$R$129,6,FALSE)))</f>
        <v>5</v>
      </c>
      <c r="O59" s="14">
        <f>M59-(N59*$T$1)</f>
        <v>12.75</v>
      </c>
      <c r="P59" s="10">
        <f t="shared" ref="P59:P61" si="63">L59+O59</f>
        <v>40.1</v>
      </c>
      <c r="Q59" s="12">
        <f t="shared" si="4"/>
        <v>25.8</v>
      </c>
      <c r="R59" s="2">
        <f>Q59*$B$129</f>
        <v>57163.807387803507</v>
      </c>
      <c r="S59" s="2">
        <f>VLOOKUP(B59,'MGS Renewals'!$A$7:$E$46,2,FALSE)</f>
        <v>20000</v>
      </c>
      <c r="T59" s="2">
        <f t="shared" ref="T59:T61" si="64">R59-S59</f>
        <v>37163.807387803507</v>
      </c>
      <c r="U59" s="12">
        <v>2.9731045910242799</v>
      </c>
      <c r="V59" s="135">
        <f t="shared" ref="V59:V61" si="65">ROUNDDOWN(U59,0)</f>
        <v>2</v>
      </c>
      <c r="W59" s="136"/>
      <c r="X59" s="12">
        <f t="shared" ref="X59" si="66">AVERAGE(H59,O59)</f>
        <v>12.75</v>
      </c>
      <c r="Y59" s="2">
        <f>X59*$B$120</f>
        <v>68185.684145751831</v>
      </c>
      <c r="Z59" s="2">
        <f>VLOOKUP(B59,'UMGF Renewals'!A$4:C$61,3,FALSE)</f>
        <v>18000</v>
      </c>
      <c r="AA59" s="2">
        <f t="shared" ref="AA59:AA61" si="67">Y59-Z59</f>
        <v>50185.684145751831</v>
      </c>
      <c r="AB59" s="12">
        <v>3.3457122763834599</v>
      </c>
      <c r="AC59" s="141">
        <f t="shared" ref="AC59:AC61" si="68">ROUNDDOWN(AB59,0)</f>
        <v>3</v>
      </c>
      <c r="AD59" s="136"/>
    </row>
    <row r="60" spans="1:30" x14ac:dyDescent="0.25">
      <c r="A60" s="139" t="s">
        <v>47</v>
      </c>
      <c r="B60" s="3" t="s">
        <v>48</v>
      </c>
      <c r="C60" s="101">
        <v>9</v>
      </c>
      <c r="D60" s="101">
        <v>5</v>
      </c>
      <c r="E60" s="121">
        <v>8.75</v>
      </c>
      <c r="F60" s="101">
        <v>5</v>
      </c>
      <c r="G60" s="101">
        <v>3</v>
      </c>
      <c r="H60" s="121">
        <v>4.8499999999999996</v>
      </c>
      <c r="I60" s="123">
        <v>13.6</v>
      </c>
      <c r="J60" s="1">
        <f>((VLOOKUP(B60,'OIA Masters table'!A64:Q255,2,FALSE)+(VLOOKUP(B60,'OIA Masters table'!A64:Q255,4,FALSE))))</f>
        <v>9</v>
      </c>
      <c r="K60" s="81">
        <f>(VLOOKUP(Budget!$B60,'OIA Masters table'!A64:Q256,5,FALSE)+(VLOOKUP(Budget!$B60,'OIA Masters table'!A64:Q256,6,FALSE)))</f>
        <v>8</v>
      </c>
      <c r="L60" s="78">
        <f>J60-(K60*$T$1)</f>
        <v>8.6</v>
      </c>
      <c r="M60" s="81">
        <f>(VLOOKUP($B60,'OIA PHD_table'!$A$12:$R$129,2,FALSE)+(VLOOKUP($B60,'OIA PHD_table'!$A$12:$R$129,4,FALSE)))</f>
        <v>5</v>
      </c>
      <c r="N60" s="81">
        <f>(VLOOKUP($B60,'OIA PHD_table'!$A$12:$R$129,5,FALSE)+(VLOOKUP($B60,'OIA PHD_table'!$A$12:$R$129,6,FALSE)))</f>
        <v>3</v>
      </c>
      <c r="O60" s="14">
        <f>M60-(N60*$T$1)</f>
        <v>4.8499999999999996</v>
      </c>
      <c r="P60" s="10">
        <f t="shared" si="63"/>
        <v>13.45</v>
      </c>
      <c r="Q60" s="12">
        <f t="shared" si="4"/>
        <v>8.6750000000000007</v>
      </c>
      <c r="R60" s="2">
        <f>Q60*$B$129</f>
        <v>19220.776321286645</v>
      </c>
      <c r="S60" s="2">
        <f>VLOOKUP(B60,'MGS Renewals'!$A$7:$E$46,2,FALSE)</f>
        <v>15000</v>
      </c>
      <c r="T60" s="2">
        <f t="shared" si="64"/>
        <v>4220.7763212866448</v>
      </c>
      <c r="U60" s="12">
        <v>0.33766210570293198</v>
      </c>
      <c r="V60" s="135">
        <f t="shared" si="65"/>
        <v>0</v>
      </c>
      <c r="W60" s="136"/>
      <c r="X60" s="12">
        <f>AVERAGE(H60,O60)</f>
        <v>4.8499999999999996</v>
      </c>
      <c r="Y60" s="2">
        <f>X60*$B$120</f>
        <v>25937.299459364418</v>
      </c>
      <c r="Z60" s="2">
        <f>VLOOKUP(B60,'UMGF Renewals'!A$4:C$61,3,FALSE)</f>
        <v>54000</v>
      </c>
      <c r="AA60" s="2">
        <f t="shared" si="67"/>
        <v>-28062.700540635582</v>
      </c>
      <c r="AB60" s="12">
        <f>AA60/15000</f>
        <v>-1.8708467027090387</v>
      </c>
      <c r="AC60" s="141">
        <f t="shared" si="68"/>
        <v>-1</v>
      </c>
      <c r="AD60" s="136"/>
    </row>
    <row r="61" spans="1:30" x14ac:dyDescent="0.25">
      <c r="B61" s="3" t="s">
        <v>49</v>
      </c>
      <c r="C61" s="101">
        <v>39</v>
      </c>
      <c r="D61" s="101">
        <v>19</v>
      </c>
      <c r="E61" s="121">
        <v>38.049999999999997</v>
      </c>
      <c r="F61" s="101">
        <v>12</v>
      </c>
      <c r="G61" s="101">
        <v>13</v>
      </c>
      <c r="H61" s="121">
        <v>11.35</v>
      </c>
      <c r="I61" s="123">
        <v>49.4</v>
      </c>
      <c r="J61" s="1">
        <f>((VLOOKUP(B61,'OIA Masters table'!A66:Q256,2,FALSE)+(VLOOKUP(B61,'OIA Masters table'!A66:Q256,4,FALSE))))</f>
        <v>29</v>
      </c>
      <c r="K61" s="81">
        <f>(VLOOKUP(Budget!$B61,'OIA Masters table'!A65:Q257,5,FALSE)+(VLOOKUP(Budget!$B61,'OIA Masters table'!A65:Q257,6,FALSE)))</f>
        <v>27</v>
      </c>
      <c r="L61" s="78">
        <f>J61-(K61*$T$1)</f>
        <v>27.65</v>
      </c>
      <c r="M61" s="81">
        <f>(VLOOKUP($B61,'OIA PHD_table'!$A$12:$R$129,2,FALSE)+(VLOOKUP($B61,'OIA PHD_table'!$A$12:$R$129,4,FALSE)))</f>
        <v>10</v>
      </c>
      <c r="N61" s="81">
        <f>(VLOOKUP($B61,'OIA PHD_table'!$A$12:$R$129,5,FALSE)+(VLOOKUP($B61,'OIA PHD_table'!$A$12:$R$129,6,FALSE)))</f>
        <v>13</v>
      </c>
      <c r="O61" s="14">
        <f>M61-(N61*$T$1)</f>
        <v>9.35</v>
      </c>
      <c r="P61" s="10">
        <f t="shared" si="63"/>
        <v>37</v>
      </c>
      <c r="Q61" s="12">
        <f t="shared" si="4"/>
        <v>32.849999999999994</v>
      </c>
      <c r="R61" s="2">
        <f>Q61*$B$129</f>
        <v>72784.150104238171</v>
      </c>
      <c r="S61" s="2">
        <f>VLOOKUP(B61,'MGS Renewals'!$A$7:$E$46,2,FALSE)</f>
        <v>40000</v>
      </c>
      <c r="T61" s="2">
        <f t="shared" si="64"/>
        <v>32784.150104238171</v>
      </c>
      <c r="U61" s="12">
        <v>2.62273200833905</v>
      </c>
      <c r="V61" s="135">
        <f t="shared" si="65"/>
        <v>2</v>
      </c>
      <c r="W61" s="136"/>
      <c r="X61" s="12">
        <f>AVERAGE(H61,O61)</f>
        <v>10.35</v>
      </c>
      <c r="Y61" s="2">
        <f>X61*$B$120</f>
        <v>55350.731835963248</v>
      </c>
      <c r="Z61" s="2">
        <f>VLOOKUP(B61,'UMGF Renewals'!A$4:C$61,3,FALSE)</f>
        <v>36000</v>
      </c>
      <c r="AA61" s="2">
        <f t="shared" si="67"/>
        <v>19350.731835963248</v>
      </c>
      <c r="AB61" s="12">
        <v>1.29004878906422</v>
      </c>
      <c r="AC61" s="141">
        <f t="shared" si="68"/>
        <v>1</v>
      </c>
      <c r="AD61" s="136"/>
    </row>
    <row r="62" spans="1:30" s="5" customFormat="1" x14ac:dyDescent="0.25">
      <c r="B62" s="145" t="s">
        <v>17</v>
      </c>
      <c r="C62" s="146">
        <f>SUM(C59:C61)</f>
        <v>73</v>
      </c>
      <c r="D62" s="146">
        <f t="shared" ref="D62:I62" si="69">SUM(D59:D61)</f>
        <v>39</v>
      </c>
      <c r="E62" s="146">
        <f t="shared" si="69"/>
        <v>71.05</v>
      </c>
      <c r="F62" s="146">
        <f t="shared" si="69"/>
        <v>17</v>
      </c>
      <c r="G62" s="146">
        <f t="shared" si="69"/>
        <v>16</v>
      </c>
      <c r="H62" s="146">
        <f t="shared" si="69"/>
        <v>16.2</v>
      </c>
      <c r="I62" s="147">
        <f t="shared" si="69"/>
        <v>87.25</v>
      </c>
      <c r="J62" s="146">
        <f>SUM(J59:J61)</f>
        <v>66</v>
      </c>
      <c r="K62" s="146">
        <f>SUM(K59:K61)</f>
        <v>48</v>
      </c>
      <c r="L62" s="146">
        <f>SUM(L59:L61)</f>
        <v>63.6</v>
      </c>
      <c r="M62" s="146">
        <f>SUM(M59:M61)</f>
        <v>28</v>
      </c>
      <c r="N62" s="146">
        <f>SUM(N59:N61)</f>
        <v>21</v>
      </c>
      <c r="O62" s="148">
        <f t="shared" ref="O62:P62" si="70">SUM(O59:O61)</f>
        <v>26.950000000000003</v>
      </c>
      <c r="P62" s="147">
        <f t="shared" si="70"/>
        <v>90.55</v>
      </c>
      <c r="Q62" s="148">
        <f t="shared" si="4"/>
        <v>67.325000000000003</v>
      </c>
      <c r="R62" s="149">
        <f>SUM(R59:R61)</f>
        <v>149168.73381332832</v>
      </c>
      <c r="S62" s="149">
        <f>SUM(S59:S61)</f>
        <v>75000</v>
      </c>
      <c r="T62" s="149">
        <f t="shared" ref="T62:V62" si="71">SUM(T59:T61)</f>
        <v>74168.733813328319</v>
      </c>
      <c r="U62" s="148">
        <f t="shared" si="71"/>
        <v>5.9334987050662615</v>
      </c>
      <c r="V62" s="148">
        <f t="shared" si="71"/>
        <v>4</v>
      </c>
      <c r="W62" s="148">
        <f>ROUNDUP(U62,0)</f>
        <v>6</v>
      </c>
      <c r="X62" s="148">
        <f t="shared" ref="X62:AC62" si="72">SUM(X59:X61)</f>
        <v>27.950000000000003</v>
      </c>
      <c r="Y62" s="149">
        <f t="shared" si="72"/>
        <v>149473.71544107952</v>
      </c>
      <c r="Z62" s="149">
        <f t="shared" si="72"/>
        <v>108000</v>
      </c>
      <c r="AA62" s="149">
        <f t="shared" si="72"/>
        <v>41473.715441079497</v>
      </c>
      <c r="AB62" s="148">
        <v>2.7649143627386401</v>
      </c>
      <c r="AC62" s="150">
        <f t="shared" si="72"/>
        <v>3</v>
      </c>
      <c r="AD62" s="148">
        <f>ROUND(AB62,0)</f>
        <v>3</v>
      </c>
    </row>
    <row r="63" spans="1:30" x14ac:dyDescent="0.25">
      <c r="R63" s="2"/>
      <c r="W63" s="136"/>
      <c r="X63" s="12"/>
      <c r="Z63" s="2"/>
      <c r="AA63" s="2"/>
      <c r="AB63" s="12"/>
      <c r="AD63" s="136"/>
    </row>
    <row r="64" spans="1:30" x14ac:dyDescent="0.25">
      <c r="R64" s="2"/>
      <c r="W64" s="136"/>
      <c r="X64" s="12"/>
      <c r="Z64" s="2"/>
      <c r="AA64" s="2"/>
      <c r="AB64" s="12"/>
      <c r="AD64" s="136"/>
    </row>
    <row r="65" spans="1:30" ht="14.4" x14ac:dyDescent="0.3">
      <c r="A65" s="139" t="s">
        <v>50</v>
      </c>
      <c r="B65" s="3" t="s">
        <v>51</v>
      </c>
      <c r="C65" s="103"/>
      <c r="D65" s="103"/>
      <c r="E65" s="122"/>
      <c r="F65" s="102">
        <v>19</v>
      </c>
      <c r="G65" s="102">
        <v>26</v>
      </c>
      <c r="H65" s="121">
        <v>17.7</v>
      </c>
      <c r="I65" s="123">
        <v>17.7</v>
      </c>
      <c r="M65" s="81">
        <f>(VLOOKUP($B65,'OIA PHD_table'!$A$12:$R$129,2,FALSE)+(VLOOKUP($B65,'OIA PHD_table'!$A$12:$R$129,4,FALSE)))</f>
        <v>19</v>
      </c>
      <c r="N65" s="81">
        <f>(VLOOKUP($B65,'OIA PHD_table'!$A$12:$R$129,5,FALSE)+(VLOOKUP($B65,'OIA PHD_table'!$A$12:$R$129,6,FALSE)))</f>
        <v>8</v>
      </c>
      <c r="O65" s="14">
        <f>M65-(N65*$T$1)</f>
        <v>18.600000000000001</v>
      </c>
      <c r="P65" s="10">
        <f t="shared" ref="P65:P69" si="73">L65+O65</f>
        <v>18.600000000000001</v>
      </c>
      <c r="R65" s="2"/>
      <c r="T65" s="2">
        <f t="shared" ref="T65:T69" si="74">R65-S65</f>
        <v>0</v>
      </c>
      <c r="U65" s="12">
        <v>0</v>
      </c>
      <c r="V65" s="135">
        <f t="shared" ref="V65:V69" si="75">ROUNDDOWN(U65,0)</f>
        <v>0</v>
      </c>
      <c r="W65" s="136"/>
      <c r="X65" s="12">
        <f t="shared" ref="X65" si="76">AVERAGE(H65,O65)</f>
        <v>18.149999999999999</v>
      </c>
      <c r="Y65" s="2">
        <f>X65*$B$120</f>
        <v>97064.326842776121</v>
      </c>
      <c r="Z65" s="2">
        <f>VLOOKUP(B65,'UMGF Renewals'!A$4:C$61,3,FALSE)</f>
        <v>54000</v>
      </c>
      <c r="AA65" s="2">
        <f t="shared" ref="AA65:AA69" si="77">Y65-Z65</f>
        <v>43064.326842776121</v>
      </c>
      <c r="AB65" s="12">
        <v>2.8709551228517398</v>
      </c>
      <c r="AC65" s="141">
        <f t="shared" ref="AC65:AC69" si="78">ROUNDDOWN(AB65,0)</f>
        <v>2</v>
      </c>
      <c r="AD65" s="136"/>
    </row>
    <row r="66" spans="1:30" x14ac:dyDescent="0.25">
      <c r="B66" s="3" t="s">
        <v>52</v>
      </c>
      <c r="C66" s="102">
        <v>12</v>
      </c>
      <c r="D66" s="102">
        <v>2</v>
      </c>
      <c r="E66" s="121">
        <v>11.9</v>
      </c>
      <c r="F66" s="102">
        <v>8</v>
      </c>
      <c r="G66" s="102">
        <v>1</v>
      </c>
      <c r="H66" s="121">
        <v>7.95</v>
      </c>
      <c r="I66" s="123">
        <v>19.850000000000001</v>
      </c>
      <c r="J66" s="1">
        <f>((VLOOKUP(B66,'OIA Masters table'!A72:Q261,2,FALSE)+(VLOOKUP(B66,'OIA Masters table'!A72:Q261,4,FALSE))))</f>
        <v>8</v>
      </c>
      <c r="K66" s="81">
        <f>(VLOOKUP(Budget!$B66,'OIA Masters table'!A70:Q262,5,FALSE)+(VLOOKUP(Budget!$B66,'OIA Masters table'!A70:Q262,6,FALSE)))</f>
        <v>2</v>
      </c>
      <c r="L66" s="78">
        <f>J66-(K66*$T$1)</f>
        <v>7.9</v>
      </c>
      <c r="M66" s="81">
        <f>(VLOOKUP($B66,'OIA PHD_table'!$A$12:$R$129,2,FALSE)+(VLOOKUP($B66,'OIA PHD_table'!$A$12:$R$129,4,FALSE)))</f>
        <v>10</v>
      </c>
      <c r="N66" s="81">
        <f>(VLOOKUP($B66,'OIA PHD_table'!$A$12:$R$129,5,FALSE)+(VLOOKUP($B66,'OIA PHD_table'!$A$12:$R$129,6,FALSE)))</f>
        <v>3</v>
      </c>
      <c r="O66" s="14">
        <f>M66-(N66*$T$1)</f>
        <v>9.85</v>
      </c>
      <c r="P66" s="10">
        <f t="shared" si="73"/>
        <v>17.75</v>
      </c>
      <c r="Q66" s="12">
        <f t="shared" si="4"/>
        <v>9.9</v>
      </c>
      <c r="R66" s="2">
        <f>Q66*$B$129</f>
        <v>21934.949346482739</v>
      </c>
      <c r="S66" s="2">
        <f>VLOOKUP(B66,'MGS Renewals'!$A$7:$E$46,2,FALSE)</f>
        <v>10000</v>
      </c>
      <c r="T66" s="2">
        <f t="shared" si="74"/>
        <v>11934.949346482739</v>
      </c>
      <c r="U66" s="12">
        <v>0.95479594771861898</v>
      </c>
      <c r="V66" s="135">
        <f t="shared" si="75"/>
        <v>0</v>
      </c>
      <c r="W66" s="136"/>
      <c r="X66" s="12">
        <f>AVERAGE(H66,O66)</f>
        <v>8.9</v>
      </c>
      <c r="Y66" s="2">
        <f>X66*$B$120</f>
        <v>47596.281482132654</v>
      </c>
      <c r="Z66" s="2">
        <f>VLOOKUP(B66,'UMGF Renewals'!A$4:C$61,3,FALSE)</f>
        <v>36000</v>
      </c>
      <c r="AA66" s="2">
        <f t="shared" si="77"/>
        <v>11596.281482132654</v>
      </c>
      <c r="AB66" s="12">
        <v>0.77308543214217695</v>
      </c>
      <c r="AC66" s="141">
        <f t="shared" si="78"/>
        <v>0</v>
      </c>
      <c r="AD66" s="136"/>
    </row>
    <row r="67" spans="1:30" x14ac:dyDescent="0.25">
      <c r="B67" s="3" t="s">
        <v>220</v>
      </c>
      <c r="M67" s="81">
        <f>(VLOOKUP($B67,'OIA PHD_table'!$A$12:$R$129,2,FALSE)+(VLOOKUP($B67,'OIA PHD_table'!$A$12:$R$129,4,FALSE)))</f>
        <v>1</v>
      </c>
      <c r="N67" s="81">
        <f>(VLOOKUP($B67,'OIA PHD_table'!$A$12:$R$129,5,FALSE)+(VLOOKUP($B67,'OIA PHD_table'!$A$12:$R$129,6,FALSE)))</f>
        <v>0</v>
      </c>
      <c r="O67" s="14">
        <f>M67-(N67*$T$1)</f>
        <v>1</v>
      </c>
      <c r="P67" s="10">
        <f t="shared" si="73"/>
        <v>1</v>
      </c>
      <c r="R67" s="2"/>
      <c r="T67" s="2">
        <f t="shared" si="74"/>
        <v>0</v>
      </c>
      <c r="U67" s="12">
        <v>0</v>
      </c>
      <c r="V67" s="135">
        <f t="shared" si="75"/>
        <v>0</v>
      </c>
      <c r="W67" s="136"/>
      <c r="X67" s="12">
        <f>AVERAGE(H67,O67)</f>
        <v>1</v>
      </c>
      <c r="Y67" s="2">
        <f>X67*$B$120</f>
        <v>5347.8967957452414</v>
      </c>
      <c r="Z67" s="2"/>
      <c r="AA67" s="2">
        <f t="shared" si="77"/>
        <v>5347.8967957452414</v>
      </c>
      <c r="AB67" s="12">
        <v>0.356526453049683</v>
      </c>
      <c r="AC67" s="141">
        <f t="shared" si="78"/>
        <v>0</v>
      </c>
      <c r="AD67" s="136"/>
    </row>
    <row r="68" spans="1:30" ht="14.4" x14ac:dyDescent="0.3">
      <c r="B68" s="3" t="s">
        <v>53</v>
      </c>
      <c r="C68" s="105">
        <v>9</v>
      </c>
      <c r="D68" s="105">
        <v>2</v>
      </c>
      <c r="E68" s="121">
        <v>8.9</v>
      </c>
      <c r="F68" s="104"/>
      <c r="G68" s="104"/>
      <c r="H68" s="122"/>
      <c r="I68" s="123">
        <v>8.9</v>
      </c>
      <c r="J68" s="1">
        <f>((VLOOKUP(B68,'OIA Masters table'!A73:Q262,2,FALSE)+(VLOOKUP(B68,'OIA Masters table'!A73:Q262,4,FALSE))))</f>
        <v>10</v>
      </c>
      <c r="K68" s="81">
        <f>(VLOOKUP(Budget!$B68,'OIA Masters table'!A71:Q263,5,FALSE)+(VLOOKUP(Budget!$B68,'OIA Masters table'!A71:Q263,6,FALSE)))</f>
        <v>4</v>
      </c>
      <c r="L68" s="78">
        <f>J68-(K68*$T$1)</f>
        <v>9.8000000000000007</v>
      </c>
      <c r="P68" s="10">
        <f t="shared" si="73"/>
        <v>9.8000000000000007</v>
      </c>
      <c r="Q68" s="12">
        <f t="shared" si="4"/>
        <v>9.3500000000000014</v>
      </c>
      <c r="R68" s="2">
        <f>Q68*$B$129</f>
        <v>20716.341049455925</v>
      </c>
      <c r="T68" s="2">
        <f t="shared" si="74"/>
        <v>20716.341049455925</v>
      </c>
      <c r="U68" s="12">
        <v>1.65730728395647</v>
      </c>
      <c r="V68" s="135">
        <f t="shared" si="75"/>
        <v>1</v>
      </c>
      <c r="W68" s="136"/>
      <c r="X68" s="12"/>
      <c r="Y68" s="2">
        <f>X68*$B$120</f>
        <v>0</v>
      </c>
      <c r="Z68" s="2"/>
      <c r="AA68" s="2"/>
      <c r="AB68" s="12">
        <v>0</v>
      </c>
      <c r="AC68" s="141">
        <f t="shared" si="78"/>
        <v>0</v>
      </c>
      <c r="AD68" s="136"/>
    </row>
    <row r="69" spans="1:30" x14ac:dyDescent="0.25">
      <c r="B69" s="3" t="s">
        <v>92</v>
      </c>
      <c r="C69" s="105">
        <v>26</v>
      </c>
      <c r="D69" s="105">
        <v>9</v>
      </c>
      <c r="E69" s="121">
        <v>25.55</v>
      </c>
      <c r="F69" s="105">
        <v>24</v>
      </c>
      <c r="G69" s="105">
        <v>1</v>
      </c>
      <c r="H69" s="121">
        <v>23.95</v>
      </c>
      <c r="I69" s="123">
        <v>49.5</v>
      </c>
      <c r="J69" s="1">
        <f>((VLOOKUP(B69,'OIA Masters table'!A74:Q263,2,FALSE)+(VLOOKUP(B69,'OIA Masters table'!A74:Q263,4,FALSE))))</f>
        <v>20</v>
      </c>
      <c r="K69" s="81">
        <f>(VLOOKUP(Budget!$B69,'OIA Masters table'!A72:Q264,5,FALSE)+(VLOOKUP(Budget!$B69,'OIA Masters table'!A72:Q264,6,FALSE)))</f>
        <v>10</v>
      </c>
      <c r="L69" s="78">
        <f>J69-(K69*$T$1)</f>
        <v>19.5</v>
      </c>
      <c r="M69" s="81">
        <f>(VLOOKUP($B69,'OIA PHD_table'!$A$12:$R$129,2,FALSE)+(VLOOKUP($B69,'OIA PHD_table'!$A$12:$R$129,4,FALSE)))</f>
        <v>28</v>
      </c>
      <c r="N69" s="81">
        <f>(VLOOKUP($B69,'OIA PHD_table'!$A$12:$R$129,5,FALSE)+(VLOOKUP($B69,'OIA PHD_table'!$A$12:$R$129,6,FALSE)))</f>
        <v>17</v>
      </c>
      <c r="O69" s="14">
        <f>M69-(N69*$T$1)</f>
        <v>27.15</v>
      </c>
      <c r="P69" s="10">
        <f t="shared" si="73"/>
        <v>46.65</v>
      </c>
      <c r="Q69" s="12">
        <f t="shared" si="4"/>
        <v>22.524999999999999</v>
      </c>
      <c r="R69" s="2">
        <f>Q69*$B$129</f>
        <v>49907.548891871076</v>
      </c>
      <c r="S69" s="2">
        <f>VLOOKUP(B69,'MGS Renewals'!$A$7:$E$46,2,FALSE)</f>
        <v>15000</v>
      </c>
      <c r="T69" s="2">
        <f t="shared" si="74"/>
        <v>34907.548891871076</v>
      </c>
      <c r="U69" s="12">
        <v>2.7926039113496901</v>
      </c>
      <c r="V69" s="135">
        <f t="shared" si="75"/>
        <v>2</v>
      </c>
      <c r="W69" s="136"/>
      <c r="X69" s="12">
        <f>AVERAGE(H69,O69)</f>
        <v>25.549999999999997</v>
      </c>
      <c r="Y69" s="2">
        <f>X69*$B$120</f>
        <v>136638.76313129091</v>
      </c>
      <c r="Z69" s="2">
        <f>VLOOKUP(B69,'UMGF Renewals'!A$4:C$61,3,FALSE)</f>
        <v>84000</v>
      </c>
      <c r="AA69" s="2">
        <f t="shared" si="77"/>
        <v>52638.763131290907</v>
      </c>
      <c r="AB69" s="12">
        <v>3.5092508754193901</v>
      </c>
      <c r="AC69" s="141">
        <f t="shared" si="78"/>
        <v>3</v>
      </c>
      <c r="AD69" s="136"/>
    </row>
    <row r="70" spans="1:30" s="5" customFormat="1" x14ac:dyDescent="0.25">
      <c r="B70" s="145" t="s">
        <v>17</v>
      </c>
      <c r="C70" s="146">
        <f>SUM(C65:C69)</f>
        <v>47</v>
      </c>
      <c r="D70" s="146">
        <f t="shared" ref="D70:I70" si="79">SUM(D65:D69)</f>
        <v>13</v>
      </c>
      <c r="E70" s="146">
        <f t="shared" si="79"/>
        <v>46.35</v>
      </c>
      <c r="F70" s="146">
        <f t="shared" si="79"/>
        <v>51</v>
      </c>
      <c r="G70" s="146">
        <f t="shared" si="79"/>
        <v>28</v>
      </c>
      <c r="H70" s="146">
        <f t="shared" si="79"/>
        <v>49.599999999999994</v>
      </c>
      <c r="I70" s="147">
        <f t="shared" si="79"/>
        <v>95.949999999999989</v>
      </c>
      <c r="J70" s="146">
        <f>SUM(J65:J69)</f>
        <v>38</v>
      </c>
      <c r="K70" s="146">
        <f>SUM(K65:K69)</f>
        <v>16</v>
      </c>
      <c r="L70" s="146">
        <f>SUM(L65:L69)</f>
        <v>37.200000000000003</v>
      </c>
      <c r="M70" s="146">
        <f>SUM(M65:M69)</f>
        <v>58</v>
      </c>
      <c r="N70" s="146">
        <f>SUM(N65:N69)</f>
        <v>28</v>
      </c>
      <c r="O70" s="148">
        <f t="shared" ref="O70:P70" si="80">SUM(O65:O69)</f>
        <v>56.6</v>
      </c>
      <c r="P70" s="147">
        <f t="shared" si="80"/>
        <v>93.800000000000011</v>
      </c>
      <c r="Q70" s="148">
        <f t="shared" si="4"/>
        <v>41.775000000000006</v>
      </c>
      <c r="R70" s="149">
        <f>SUM(R65:R69)</f>
        <v>92558.839287809737</v>
      </c>
      <c r="S70" s="149">
        <f>SUM(S65:S69)</f>
        <v>25000</v>
      </c>
      <c r="T70" s="149">
        <f t="shared" ref="T70:V70" si="81">SUM(T65:T69)</f>
        <v>67558.839287809737</v>
      </c>
      <c r="U70" s="148">
        <f t="shared" si="81"/>
        <v>5.4047071430247797</v>
      </c>
      <c r="V70" s="148">
        <f t="shared" si="81"/>
        <v>3</v>
      </c>
      <c r="W70" s="148">
        <f>ROUNDUP(U70,0)</f>
        <v>6</v>
      </c>
      <c r="X70" s="148">
        <f>SUM(X65:X69)</f>
        <v>53.599999999999994</v>
      </c>
      <c r="Y70" s="149">
        <f>SUM(Y65:Y69)</f>
        <v>286647.26825194492</v>
      </c>
      <c r="Z70" s="149">
        <f>SUM(Z65:Z69)</f>
        <v>174000</v>
      </c>
      <c r="AA70" s="149">
        <f>SUM(AA65:AA69)</f>
        <v>112647.26825194492</v>
      </c>
      <c r="AB70" s="148">
        <f>SUM(AB65:AB69)</f>
        <v>7.5098178834629898</v>
      </c>
      <c r="AC70" s="150">
        <f t="shared" ref="AC70" si="82">SUM(AC65:AC69)</f>
        <v>5</v>
      </c>
      <c r="AD70" s="148">
        <f>ROUND(AB70,0)</f>
        <v>8</v>
      </c>
    </row>
    <row r="71" spans="1:30" x14ac:dyDescent="0.25">
      <c r="R71" s="2"/>
      <c r="W71" s="136"/>
      <c r="X71" s="12"/>
      <c r="Z71" s="2"/>
      <c r="AA71" s="2"/>
      <c r="AB71" s="12"/>
      <c r="AD71" s="136"/>
    </row>
    <row r="72" spans="1:30" x14ac:dyDescent="0.25">
      <c r="A72" s="139" t="s">
        <v>195</v>
      </c>
      <c r="B72" s="3" t="s">
        <v>54</v>
      </c>
      <c r="C72" s="106">
        <v>4</v>
      </c>
      <c r="D72" s="106">
        <v>0</v>
      </c>
      <c r="E72" s="121">
        <v>4</v>
      </c>
      <c r="F72" s="106">
        <v>4</v>
      </c>
      <c r="G72" s="106">
        <v>1</v>
      </c>
      <c r="H72" s="121">
        <v>3.95</v>
      </c>
      <c r="I72" s="123">
        <v>7.95</v>
      </c>
      <c r="J72" s="1">
        <f>((VLOOKUP(B72,'OIA Masters table'!A77:Q266,2,FALSE)+(VLOOKUP(B72,'OIA Masters table'!A77:Q266,4,FALSE))))</f>
        <v>2</v>
      </c>
      <c r="K72" s="81">
        <f>(VLOOKUP(Budget!$B72,'OIA Masters table'!A75:Q267,5,FALSE)+(VLOOKUP(Budget!$B72,'OIA Masters table'!A75:Q267,6,FALSE)))</f>
        <v>1</v>
      </c>
      <c r="L72" s="78">
        <f>J72-(K72*$T$1)</f>
        <v>1.95</v>
      </c>
      <c r="M72" s="81">
        <f>(VLOOKUP($B72,'OIA PHD_table'!$A$12:$R$129,2,FALSE)+(VLOOKUP($B72,'OIA PHD_table'!$A$12:$R$129,4,FALSE)))</f>
        <v>7</v>
      </c>
      <c r="N72" s="81">
        <f>(VLOOKUP($B72,'OIA PHD_table'!$A$12:$R$129,5,FALSE)+(VLOOKUP($B72,'OIA PHD_table'!$A$12:$R$129,6,FALSE)))</f>
        <v>0</v>
      </c>
      <c r="O72" s="14">
        <f>M72-(N72*$T$1)</f>
        <v>7</v>
      </c>
      <c r="P72" s="10">
        <f t="shared" ref="P72" si="83">L72+O72</f>
        <v>8.9499999999999993</v>
      </c>
      <c r="Q72" s="12">
        <f t="shared" ref="Q72:Q106" si="84">AVERAGE(E72,L72)</f>
        <v>2.9750000000000001</v>
      </c>
      <c r="R72" s="2">
        <f>Q72*$B$129</f>
        <v>6591.5630611905199</v>
      </c>
      <c r="T72" s="2">
        <f t="shared" ref="T72" si="85">R72-S72</f>
        <v>6591.5630611905199</v>
      </c>
      <c r="U72" s="12">
        <v>0.52732504489524201</v>
      </c>
      <c r="V72" s="135">
        <f t="shared" ref="V72" si="86">ROUNDDOWN(U72,0)</f>
        <v>0</v>
      </c>
      <c r="W72" s="136"/>
      <c r="X72" s="12">
        <f>AVERAGE(H72,O72)</f>
        <v>5.4749999999999996</v>
      </c>
      <c r="Y72" s="2">
        <f>X72*$B$120</f>
        <v>29279.734956705193</v>
      </c>
      <c r="Z72" s="2">
        <f>VLOOKUP(B72,'UMGF Renewals'!A$4:C$61,3,FALSE)</f>
        <v>42000</v>
      </c>
      <c r="AA72" s="2">
        <f t="shared" ref="AA72" si="87">Y72-Z72</f>
        <v>-12720.265043294807</v>
      </c>
      <c r="AB72" s="12">
        <v>-0.84801766955298696</v>
      </c>
      <c r="AC72" s="141">
        <f t="shared" ref="AC72" si="88">ROUNDDOWN(AB72,0)</f>
        <v>0</v>
      </c>
      <c r="AD72" s="136"/>
    </row>
    <row r="73" spans="1:30" s="5" customFormat="1" x14ac:dyDescent="0.25">
      <c r="B73" s="145" t="s">
        <v>17</v>
      </c>
      <c r="C73" s="146">
        <f>SUM(C72)</f>
        <v>4</v>
      </c>
      <c r="D73" s="146">
        <f t="shared" ref="D73:I73" si="89">SUM(D72)</f>
        <v>0</v>
      </c>
      <c r="E73" s="146">
        <f t="shared" si="89"/>
        <v>4</v>
      </c>
      <c r="F73" s="146">
        <f t="shared" si="89"/>
        <v>4</v>
      </c>
      <c r="G73" s="146">
        <f t="shared" si="89"/>
        <v>1</v>
      </c>
      <c r="H73" s="146">
        <f t="shared" si="89"/>
        <v>3.95</v>
      </c>
      <c r="I73" s="147">
        <f t="shared" si="89"/>
        <v>7.95</v>
      </c>
      <c r="J73" s="146">
        <f>SUM(J72)</f>
        <v>2</v>
      </c>
      <c r="K73" s="146">
        <f>SUM(K72)</f>
        <v>1</v>
      </c>
      <c r="L73" s="146">
        <f>SUM(L72)</f>
        <v>1.95</v>
      </c>
      <c r="M73" s="146">
        <f>SUM(M72)</f>
        <v>7</v>
      </c>
      <c r="N73" s="146">
        <f>SUM(N72)</f>
        <v>0</v>
      </c>
      <c r="O73" s="148">
        <f t="shared" ref="O73:P73" si="90">SUM(O72)</f>
        <v>7</v>
      </c>
      <c r="P73" s="147">
        <f t="shared" si="90"/>
        <v>8.9499999999999993</v>
      </c>
      <c r="Q73" s="148">
        <f t="shared" si="84"/>
        <v>2.9750000000000001</v>
      </c>
      <c r="R73" s="149">
        <f>SUM(R72)</f>
        <v>6591.5630611905199</v>
      </c>
      <c r="S73" s="149">
        <f>SUM(S72)</f>
        <v>0</v>
      </c>
      <c r="T73" s="149">
        <f t="shared" ref="T73:V73" si="91">SUM(T72)</f>
        <v>6591.5630611905199</v>
      </c>
      <c r="U73" s="148">
        <f t="shared" si="91"/>
        <v>0.52732504489524201</v>
      </c>
      <c r="V73" s="148">
        <f t="shared" si="91"/>
        <v>0</v>
      </c>
      <c r="W73" s="148">
        <f>ROUNDUP(U73,0)</f>
        <v>1</v>
      </c>
      <c r="X73" s="148">
        <f>SUM(X72)</f>
        <v>5.4749999999999996</v>
      </c>
      <c r="Y73" s="149">
        <f>SUM(Y72)</f>
        <v>29279.734956705193</v>
      </c>
      <c r="Z73" s="149">
        <f>SUM(Z72)</f>
        <v>42000</v>
      </c>
      <c r="AA73" s="149">
        <f>SUM(AA72)</f>
        <v>-12720.265043294807</v>
      </c>
      <c r="AB73" s="148">
        <f>SUM(AB72)</f>
        <v>-0.84801766955298696</v>
      </c>
      <c r="AC73" s="150">
        <f t="shared" ref="AC73" si="92">SUM(AC72)</f>
        <v>0</v>
      </c>
      <c r="AD73" s="148">
        <f>ROUND(AB73,0)</f>
        <v>-1</v>
      </c>
    </row>
    <row r="74" spans="1:30" x14ac:dyDescent="0.25">
      <c r="R74" s="2"/>
      <c r="W74" s="136"/>
      <c r="X74" s="12"/>
      <c r="Z74" s="2"/>
      <c r="AA74" s="2"/>
      <c r="AB74" s="12"/>
      <c r="AD74" s="136"/>
    </row>
    <row r="75" spans="1:30" x14ac:dyDescent="0.25">
      <c r="A75" s="139" t="s">
        <v>196</v>
      </c>
      <c r="B75" s="3" t="s">
        <v>55</v>
      </c>
      <c r="C75" s="107">
        <v>15</v>
      </c>
      <c r="D75" s="107">
        <v>15</v>
      </c>
      <c r="E75" s="121">
        <v>14.25</v>
      </c>
      <c r="F75" s="107">
        <v>7</v>
      </c>
      <c r="G75" s="107">
        <v>2</v>
      </c>
      <c r="H75" s="121">
        <v>6.9</v>
      </c>
      <c r="I75" s="123">
        <v>21.15</v>
      </c>
      <c r="J75" s="1">
        <f>((VLOOKUP(B75,'OIA Masters table'!A80:Q269,2,FALSE)+(VLOOKUP(B75,'OIA Masters table'!A80:Q269,4,FALSE))))</f>
        <v>17</v>
      </c>
      <c r="K75" s="81">
        <f>(VLOOKUP(Budget!$B75,'OIA Masters table'!A78:Q270,5,FALSE)+(VLOOKUP(Budget!$B75,'OIA Masters table'!A78:Q270,6,FALSE)))</f>
        <v>15</v>
      </c>
      <c r="L75" s="78">
        <f>J75-(K75*$T$1)</f>
        <v>16.25</v>
      </c>
      <c r="M75" s="81">
        <f>(VLOOKUP($B75,'OIA PHD_table'!$A$12:$R$129,2,FALSE)+(VLOOKUP($B75,'OIA PHD_table'!$A$12:$R$129,4,FALSE)))</f>
        <v>7</v>
      </c>
      <c r="N75" s="81">
        <f>(VLOOKUP($B75,'OIA PHD_table'!$A$12:$R$129,5,FALSE)+(VLOOKUP($B75,'OIA PHD_table'!$A$12:$R$129,6,FALSE)))</f>
        <v>5</v>
      </c>
      <c r="O75" s="14">
        <f>M75-(N75*$T$1)</f>
        <v>6.75</v>
      </c>
      <c r="P75" s="10">
        <f t="shared" ref="P75" si="93">L75+O75</f>
        <v>23</v>
      </c>
      <c r="Q75" s="12">
        <f t="shared" si="84"/>
        <v>15.25</v>
      </c>
      <c r="R75" s="2">
        <f>Q75*$B$129</f>
        <v>33788.68459937998</v>
      </c>
      <c r="T75" s="2">
        <f t="shared" ref="T75" si="94">R75-S75</f>
        <v>33788.68459937998</v>
      </c>
      <c r="U75" s="12">
        <v>2.7030947679503998</v>
      </c>
      <c r="V75" s="135">
        <f t="shared" ref="V75" si="95">ROUNDDOWN(U75,0)</f>
        <v>2</v>
      </c>
      <c r="W75" s="136"/>
      <c r="X75" s="12">
        <f>AVERAGE(H75,O75)</f>
        <v>6.8250000000000002</v>
      </c>
      <c r="Y75" s="2">
        <f>X75*$B$120</f>
        <v>36499.395630961277</v>
      </c>
      <c r="Z75" s="2">
        <f>VLOOKUP(B75,'UMGF Renewals'!A$4:C$61,3,FALSE)</f>
        <v>0</v>
      </c>
      <c r="AA75" s="2">
        <f t="shared" ref="AA75" si="96">Y75-Z75</f>
        <v>36499.395630961277</v>
      </c>
      <c r="AB75" s="12">
        <v>2.4332930420640899</v>
      </c>
      <c r="AC75" s="141">
        <f t="shared" ref="AC75" si="97">ROUNDDOWN(AB75,0)</f>
        <v>2</v>
      </c>
      <c r="AD75" s="136"/>
    </row>
    <row r="76" spans="1:30" s="5" customFormat="1" x14ac:dyDescent="0.25">
      <c r="B76" s="145" t="s">
        <v>17</v>
      </c>
      <c r="C76" s="146">
        <f>SUM(C75)</f>
        <v>15</v>
      </c>
      <c r="D76" s="146">
        <f t="shared" ref="D76:I76" si="98">SUM(D75)</f>
        <v>15</v>
      </c>
      <c r="E76" s="146">
        <f t="shared" si="98"/>
        <v>14.25</v>
      </c>
      <c r="F76" s="146">
        <f t="shared" si="98"/>
        <v>7</v>
      </c>
      <c r="G76" s="146">
        <f t="shared" si="98"/>
        <v>2</v>
      </c>
      <c r="H76" s="146">
        <f t="shared" si="98"/>
        <v>6.9</v>
      </c>
      <c r="I76" s="147">
        <f t="shared" si="98"/>
        <v>21.15</v>
      </c>
      <c r="J76" s="146">
        <f t="shared" ref="J76:P76" si="99">SUM(J75)</f>
        <v>17</v>
      </c>
      <c r="K76" s="146">
        <f t="shared" si="99"/>
        <v>15</v>
      </c>
      <c r="L76" s="146">
        <f t="shared" si="99"/>
        <v>16.25</v>
      </c>
      <c r="M76" s="146">
        <f t="shared" si="99"/>
        <v>7</v>
      </c>
      <c r="N76" s="146">
        <f t="shared" si="99"/>
        <v>5</v>
      </c>
      <c r="O76" s="146">
        <f t="shared" si="99"/>
        <v>6.75</v>
      </c>
      <c r="P76" s="147">
        <f t="shared" si="99"/>
        <v>23</v>
      </c>
      <c r="Q76" s="148">
        <f t="shared" si="84"/>
        <v>15.25</v>
      </c>
      <c r="R76" s="149">
        <f>SUM(R75)</f>
        <v>33788.68459937998</v>
      </c>
      <c r="S76" s="149">
        <f>SUM(S75)</f>
        <v>0</v>
      </c>
      <c r="T76" s="149">
        <v>-11885.010288912497</v>
      </c>
      <c r="U76" s="148">
        <f>SUM(U75)</f>
        <v>2.7030947679503998</v>
      </c>
      <c r="V76" s="148">
        <f>SUM(V75)</f>
        <v>2</v>
      </c>
      <c r="W76" s="148">
        <f>ROUNDUP(U76,0)</f>
        <v>3</v>
      </c>
      <c r="X76" s="148">
        <f t="shared" ref="X76:AC76" si="100">SUM(X75)</f>
        <v>6.8250000000000002</v>
      </c>
      <c r="Y76" s="149">
        <f t="shared" si="100"/>
        <v>36499.395630961277</v>
      </c>
      <c r="Z76" s="149">
        <f t="shared" si="100"/>
        <v>0</v>
      </c>
      <c r="AA76" s="149">
        <f t="shared" si="100"/>
        <v>36499.395630961277</v>
      </c>
      <c r="AB76" s="148">
        <f>SUM(AB75)</f>
        <v>2.4332930420640899</v>
      </c>
      <c r="AC76" s="150">
        <f t="shared" si="100"/>
        <v>2</v>
      </c>
      <c r="AD76" s="148">
        <f>ROUND(AB76,0)</f>
        <v>2</v>
      </c>
    </row>
    <row r="77" spans="1:30" x14ac:dyDescent="0.25">
      <c r="R77" s="2"/>
      <c r="W77" s="136"/>
      <c r="X77" s="12"/>
      <c r="Z77" s="2"/>
      <c r="AA77" s="2"/>
      <c r="AB77" s="12"/>
      <c r="AD77" s="136"/>
    </row>
    <row r="78" spans="1:30" x14ac:dyDescent="0.25">
      <c r="A78" s="139" t="s">
        <v>197</v>
      </c>
      <c r="B78" s="3" t="s">
        <v>56</v>
      </c>
      <c r="C78" s="108">
        <v>13</v>
      </c>
      <c r="D78" s="108">
        <v>2</v>
      </c>
      <c r="E78" s="121">
        <v>12.9</v>
      </c>
      <c r="F78" s="108">
        <v>7</v>
      </c>
      <c r="G78" s="108">
        <v>1</v>
      </c>
      <c r="H78" s="121">
        <v>6.95</v>
      </c>
      <c r="I78" s="123">
        <v>19.850000000000001</v>
      </c>
      <c r="J78" s="109">
        <v>16.425000000000001</v>
      </c>
      <c r="K78" s="81">
        <f>(VLOOKUP(Budget!$B78,'OIA Masters table'!A81:Q273,5,FALSE)+(VLOOKUP(Budget!$B78,'OIA Masters table'!A81:Q273,6,FALSE)))</f>
        <v>1</v>
      </c>
      <c r="L78" s="78">
        <f>J78-(K78*$T$1)</f>
        <v>16.375</v>
      </c>
      <c r="M78" s="81">
        <f>(VLOOKUP($B78,'OIA PHD_table'!$A$12:$R$129,2,FALSE)+(VLOOKUP($B78,'OIA PHD_table'!$A$12:$R$129,4,FALSE)))</f>
        <v>6</v>
      </c>
      <c r="N78" s="81">
        <f>(VLOOKUP($B78,'OIA PHD_table'!$A$12:$R$129,5,FALSE)+(VLOOKUP($B78,'OIA PHD_table'!$A$12:$R$129,6,FALSE)))</f>
        <v>3</v>
      </c>
      <c r="O78" s="14">
        <f>M78-(N78*$T$1)</f>
        <v>5.85</v>
      </c>
      <c r="P78" s="10">
        <f t="shared" ref="P78" si="101">L78+O78</f>
        <v>22.225000000000001</v>
      </c>
      <c r="Q78" s="12">
        <f t="shared" si="84"/>
        <v>14.637499999999999</v>
      </c>
      <c r="R78" s="2">
        <f>Q78*$B$129</f>
        <v>32431.598086781927</v>
      </c>
      <c r="T78" s="2">
        <f t="shared" ref="T78" si="102">R78-S78</f>
        <v>32431.598086781927</v>
      </c>
      <c r="U78" s="12">
        <v>2.5945278469425501</v>
      </c>
      <c r="V78" s="135">
        <f t="shared" ref="V78" si="103">ROUNDDOWN(U78,0)</f>
        <v>2</v>
      </c>
      <c r="W78" s="136"/>
      <c r="X78" s="12">
        <f>AVERAGE(H78,O78)</f>
        <v>6.4</v>
      </c>
      <c r="Y78" s="2">
        <f>X78*$B$120</f>
        <v>34226.539492769545</v>
      </c>
      <c r="Z78" s="2">
        <f>VLOOKUP(B78,'UMGF Renewals'!A$4:C$61,3,FALSE)</f>
        <v>36000</v>
      </c>
      <c r="AA78" s="2">
        <f t="shared" ref="AA78" si="104">Y78-Z78</f>
        <v>-1773.4605072304548</v>
      </c>
      <c r="AB78" s="12">
        <v>-0.11823070048202999</v>
      </c>
      <c r="AC78" s="141">
        <f t="shared" ref="AC78" si="105">ROUNDDOWN(AB78,0)</f>
        <v>0</v>
      </c>
      <c r="AD78" s="136"/>
    </row>
    <row r="79" spans="1:30" s="5" customFormat="1" x14ac:dyDescent="0.25">
      <c r="B79" s="145" t="s">
        <v>17</v>
      </c>
      <c r="C79" s="146">
        <f>SUM(C78)</f>
        <v>13</v>
      </c>
      <c r="D79" s="146">
        <f t="shared" ref="D79:I79" si="106">SUM(D78)</f>
        <v>2</v>
      </c>
      <c r="E79" s="146">
        <f t="shared" si="106"/>
        <v>12.9</v>
      </c>
      <c r="F79" s="146">
        <f t="shared" si="106"/>
        <v>7</v>
      </c>
      <c r="G79" s="146">
        <f t="shared" si="106"/>
        <v>1</v>
      </c>
      <c r="H79" s="146">
        <f t="shared" si="106"/>
        <v>6.95</v>
      </c>
      <c r="I79" s="147">
        <f t="shared" si="106"/>
        <v>19.850000000000001</v>
      </c>
      <c r="J79" s="146">
        <f t="shared" ref="J79:P79" si="107">SUM(J78)</f>
        <v>16.425000000000001</v>
      </c>
      <c r="K79" s="146">
        <f t="shared" si="107"/>
        <v>1</v>
      </c>
      <c r="L79" s="146">
        <f t="shared" si="107"/>
        <v>16.375</v>
      </c>
      <c r="M79" s="146">
        <f t="shared" si="107"/>
        <v>6</v>
      </c>
      <c r="N79" s="146">
        <f t="shared" si="107"/>
        <v>3</v>
      </c>
      <c r="O79" s="146">
        <f t="shared" si="107"/>
        <v>5.85</v>
      </c>
      <c r="P79" s="147">
        <f t="shared" si="107"/>
        <v>22.225000000000001</v>
      </c>
      <c r="Q79" s="148">
        <f t="shared" si="84"/>
        <v>14.637499999999999</v>
      </c>
      <c r="R79" s="149">
        <f>SUM(R78)</f>
        <v>32431.598086781927</v>
      </c>
      <c r="S79" s="149">
        <f>SUM(S78)</f>
        <v>0</v>
      </c>
      <c r="T79" s="149">
        <v>41366.791159463159</v>
      </c>
      <c r="U79" s="148">
        <v>3.3</v>
      </c>
      <c r="V79" s="148">
        <v>3.3</v>
      </c>
      <c r="W79" s="148">
        <f>ROUNDUP(U79,0)</f>
        <v>4</v>
      </c>
      <c r="X79" s="148">
        <f t="shared" ref="X79:AC79" si="108">SUM(X78)</f>
        <v>6.4</v>
      </c>
      <c r="Y79" s="149">
        <f t="shared" si="108"/>
        <v>34226.539492769545</v>
      </c>
      <c r="Z79" s="149">
        <f t="shared" si="108"/>
        <v>36000</v>
      </c>
      <c r="AA79" s="149">
        <f t="shared" si="108"/>
        <v>-1773.4605072304548</v>
      </c>
      <c r="AB79" s="148">
        <f t="shared" si="108"/>
        <v>-0.11823070048202999</v>
      </c>
      <c r="AC79" s="150">
        <f t="shared" si="108"/>
        <v>0</v>
      </c>
      <c r="AD79" s="148">
        <f>ROUND(AB79,0)</f>
        <v>0</v>
      </c>
    </row>
    <row r="80" spans="1:30" x14ac:dyDescent="0.25">
      <c r="R80" s="2"/>
      <c r="W80" s="136"/>
      <c r="X80" s="12"/>
      <c r="Z80" s="2"/>
      <c r="AA80" s="2"/>
      <c r="AB80" s="12"/>
      <c r="AD80" s="136"/>
    </row>
    <row r="81" spans="1:30" ht="14.4" x14ac:dyDescent="0.3">
      <c r="A81" s="139" t="s">
        <v>57</v>
      </c>
      <c r="B81" s="3" t="s">
        <v>58</v>
      </c>
      <c r="C81" s="111">
        <v>10</v>
      </c>
      <c r="D81" s="111">
        <v>6</v>
      </c>
      <c r="E81" s="121">
        <v>9.6999999999999993</v>
      </c>
      <c r="F81" s="110"/>
      <c r="G81" s="110"/>
      <c r="H81" s="122"/>
      <c r="I81" s="123">
        <v>9.6999999999999993</v>
      </c>
      <c r="J81" s="1">
        <f>((VLOOKUP(B81,'OIA Masters table'!A86:Q275,2,FALSE)+(VLOOKUP(B81,'OIA Masters table'!A86:Q275,4,FALSE))))</f>
        <v>9</v>
      </c>
      <c r="K81" s="81">
        <f>(VLOOKUP(Budget!$B81,'OIA Masters table'!A84:Q276,5,FALSE)+(VLOOKUP(Budget!$B81,'OIA Masters table'!A84:Q276,6,FALSE)))</f>
        <v>4</v>
      </c>
      <c r="L81" s="78">
        <f>J81-(K81*$T$1)</f>
        <v>8.8000000000000007</v>
      </c>
      <c r="P81" s="10">
        <f t="shared" ref="P81:P83" si="109">L81+O81</f>
        <v>8.8000000000000007</v>
      </c>
      <c r="Q81" s="12">
        <f t="shared" si="84"/>
        <v>9.25</v>
      </c>
      <c r="R81" s="2">
        <f>Q81*$B$129</f>
        <v>20494.775904541952</v>
      </c>
      <c r="S81" s="2">
        <f>VLOOKUP(B81,'MGS Renewals'!$A$7:$E$46,2,FALSE)</f>
        <v>5000</v>
      </c>
      <c r="T81" s="2">
        <f t="shared" ref="T81:T83" si="110">R81-S81</f>
        <v>15494.775904541952</v>
      </c>
      <c r="U81" s="12">
        <v>1.2395820723633599</v>
      </c>
      <c r="V81" s="135">
        <f t="shared" ref="V81:V83" si="111">ROUNDDOWN(U81,0)</f>
        <v>1</v>
      </c>
      <c r="W81" s="136"/>
      <c r="X81" s="12"/>
      <c r="Z81" s="2"/>
      <c r="AA81" s="2"/>
      <c r="AB81" s="12"/>
      <c r="AD81" s="136"/>
    </row>
    <row r="82" spans="1:30" ht="14.4" x14ac:dyDescent="0.3">
      <c r="A82" s="139" t="s">
        <v>59</v>
      </c>
      <c r="B82" s="3" t="s">
        <v>60</v>
      </c>
      <c r="C82" s="111">
        <v>100</v>
      </c>
      <c r="D82" s="111">
        <v>3</v>
      </c>
      <c r="E82" s="121">
        <v>99.85</v>
      </c>
      <c r="F82" s="110"/>
      <c r="G82" s="110"/>
      <c r="H82" s="122"/>
      <c r="I82" s="123">
        <v>99.85</v>
      </c>
      <c r="J82" s="1">
        <f>((VLOOKUP(B82,'OIA Masters table'!A87:Q276,2,FALSE)+(VLOOKUP(B82,'OIA Masters table'!A87:Q276,4,FALSE))))</f>
        <v>98</v>
      </c>
      <c r="K82" s="81">
        <f>(VLOOKUP(Budget!$B82,'OIA Masters table'!A85:Q277,5,FALSE)+(VLOOKUP(Budget!$B82,'OIA Masters table'!A85:Q277,6,FALSE)))</f>
        <v>5</v>
      </c>
      <c r="L82" s="78">
        <f>J82-(K82*$T$1)</f>
        <v>97.75</v>
      </c>
      <c r="P82" s="10">
        <f t="shared" si="109"/>
        <v>97.75</v>
      </c>
      <c r="Q82" s="12">
        <f t="shared" si="84"/>
        <v>98.8</v>
      </c>
      <c r="R82" s="2">
        <f>Q82*$B$129</f>
        <v>218906.36317499945</v>
      </c>
      <c r="T82" s="2">
        <f t="shared" si="110"/>
        <v>218906.36317499945</v>
      </c>
      <c r="U82" s="12">
        <v>2</v>
      </c>
      <c r="V82" s="135">
        <f t="shared" si="111"/>
        <v>2</v>
      </c>
      <c r="W82" s="136"/>
      <c r="X82" s="12"/>
      <c r="Z82" s="2"/>
      <c r="AA82" s="2"/>
      <c r="AB82" s="12"/>
      <c r="AD82" s="136"/>
    </row>
    <row r="83" spans="1:30" ht="14.4" x14ac:dyDescent="0.3">
      <c r="A83" s="139" t="s">
        <v>61</v>
      </c>
      <c r="B83" s="3" t="s">
        <v>62</v>
      </c>
      <c r="C83" s="111">
        <v>98</v>
      </c>
      <c r="D83" s="111">
        <v>2</v>
      </c>
      <c r="E83" s="121">
        <v>97.9</v>
      </c>
      <c r="F83" s="110"/>
      <c r="G83" s="110"/>
      <c r="H83" s="122"/>
      <c r="I83" s="123">
        <v>97.9</v>
      </c>
      <c r="J83" s="1">
        <f>((VLOOKUP(B83,'OIA Masters table'!A88:Q277,2,FALSE)+(VLOOKUP(B83,'OIA Masters table'!A88:Q277,4,FALSE))))</f>
        <v>99</v>
      </c>
      <c r="K83" s="81">
        <f>(VLOOKUP(Budget!$B83,'OIA Masters table'!A86:Q278,5,FALSE)+(VLOOKUP(Budget!$B83,'OIA Masters table'!A86:Q278,6,FALSE)))</f>
        <v>0</v>
      </c>
      <c r="L83" s="78">
        <f>J83-(K83*$T$1)</f>
        <v>99</v>
      </c>
      <c r="P83" s="10">
        <f t="shared" si="109"/>
        <v>99</v>
      </c>
      <c r="Q83" s="12">
        <f t="shared" si="84"/>
        <v>98.45</v>
      </c>
      <c r="R83" s="2">
        <f>Q83*$B$129</f>
        <v>218130.88516780059</v>
      </c>
      <c r="S83" s="2">
        <f>VLOOKUP(B83,'MGS Renewals'!$A$7:$E$46,2,FALSE)</f>
        <v>40000</v>
      </c>
      <c r="T83" s="2">
        <f t="shared" si="110"/>
        <v>178130.88516780059</v>
      </c>
      <c r="U83" s="12">
        <v>2</v>
      </c>
      <c r="V83" s="135">
        <f t="shared" si="111"/>
        <v>2</v>
      </c>
      <c r="W83" s="136"/>
      <c r="X83" s="12"/>
      <c r="Z83" s="2"/>
      <c r="AA83" s="2"/>
      <c r="AB83" s="12"/>
      <c r="AD83" s="136"/>
    </row>
    <row r="84" spans="1:30" s="5" customFormat="1" x14ac:dyDescent="0.25">
      <c r="B84" s="145" t="s">
        <v>17</v>
      </c>
      <c r="C84" s="146">
        <f>SUM(C81:C83)</f>
        <v>208</v>
      </c>
      <c r="D84" s="146">
        <f t="shared" ref="D84:I84" si="112">SUM(D81:D83)</f>
        <v>11</v>
      </c>
      <c r="E84" s="146">
        <f t="shared" si="112"/>
        <v>207.45</v>
      </c>
      <c r="F84" s="146"/>
      <c r="G84" s="146"/>
      <c r="H84" s="146"/>
      <c r="I84" s="147">
        <f t="shared" si="112"/>
        <v>207.45</v>
      </c>
      <c r="J84" s="146">
        <f>SUM(J81:J83)</f>
        <v>206</v>
      </c>
      <c r="K84" s="146">
        <f>SUM(K81:K83)</f>
        <v>9</v>
      </c>
      <c r="L84" s="146">
        <f>SUM(L81:L83)</f>
        <v>205.55</v>
      </c>
      <c r="M84" s="146">
        <f t="shared" ref="M84:P84" si="113">SUM(M81:M83)</f>
        <v>0</v>
      </c>
      <c r="N84" s="146">
        <f t="shared" si="113"/>
        <v>0</v>
      </c>
      <c r="O84" s="148">
        <f t="shared" si="113"/>
        <v>0</v>
      </c>
      <c r="P84" s="147">
        <f t="shared" si="113"/>
        <v>205.55</v>
      </c>
      <c r="Q84" s="148">
        <f t="shared" si="84"/>
        <v>206.5</v>
      </c>
      <c r="R84" s="149">
        <f>SUM(R81:R83)</f>
        <v>457532.02424734202</v>
      </c>
      <c r="S84" s="149">
        <f>SUM(S81:S83)</f>
        <v>45000</v>
      </c>
      <c r="T84" s="149">
        <f t="shared" ref="T84:V84" si="114">SUM(T81:T83)</f>
        <v>412532.02424734202</v>
      </c>
      <c r="U84" s="148">
        <f t="shared" si="114"/>
        <v>5.2395820723633602</v>
      </c>
      <c r="V84" s="148">
        <f t="shared" si="114"/>
        <v>5</v>
      </c>
      <c r="W84" s="148">
        <f>ROUNDUP(U84,0)</f>
        <v>6</v>
      </c>
      <c r="X84" s="148"/>
      <c r="Y84" s="149"/>
      <c r="Z84" s="149"/>
      <c r="AA84" s="149"/>
      <c r="AB84" s="148"/>
      <c r="AC84" s="150"/>
      <c r="AD84" s="148"/>
    </row>
    <row r="85" spans="1:30" x14ac:dyDescent="0.25">
      <c r="R85" s="2"/>
      <c r="W85" s="136"/>
      <c r="X85" s="12"/>
      <c r="Z85" s="2"/>
      <c r="AA85" s="2"/>
      <c r="AB85" s="12"/>
      <c r="AD85" s="136"/>
    </row>
    <row r="86" spans="1:30" x14ac:dyDescent="0.25">
      <c r="R86" s="2"/>
      <c r="W86" s="136"/>
      <c r="X86" s="12"/>
      <c r="Z86" s="2"/>
      <c r="AA86" s="2"/>
      <c r="AB86" s="12"/>
      <c r="AD86" s="136"/>
    </row>
    <row r="87" spans="1:30" ht="14.4" x14ac:dyDescent="0.3">
      <c r="A87" s="139" t="s">
        <v>65</v>
      </c>
      <c r="B87" s="3" t="s">
        <v>66</v>
      </c>
      <c r="C87" s="113">
        <v>30</v>
      </c>
      <c r="D87" s="113">
        <v>13</v>
      </c>
      <c r="E87" s="121">
        <v>29.35</v>
      </c>
      <c r="F87" s="112"/>
      <c r="G87" s="112"/>
      <c r="H87" s="122"/>
      <c r="I87" s="123">
        <v>29.35</v>
      </c>
      <c r="J87" s="1">
        <f>((VLOOKUP(B87,'OIA Masters table'!A95:Q284,2,FALSE)+(VLOOKUP(B87,'OIA Masters table'!A95:Q284,4,FALSE))))</f>
        <v>30</v>
      </c>
      <c r="K87" s="81">
        <f>(VLOOKUP(Budget!$B87,'OIA Masters table'!A90:Q282,5,FALSE)+(VLOOKUP(Budget!$B87,'OIA Masters table'!A90:Q282,6,FALSE)))</f>
        <v>8</v>
      </c>
      <c r="L87" s="78">
        <f>J87-(K87*$T$1)</f>
        <v>29.6</v>
      </c>
      <c r="P87" s="10">
        <f t="shared" ref="P87" si="115">L87+O87</f>
        <v>29.6</v>
      </c>
      <c r="Q87" s="12">
        <f t="shared" si="84"/>
        <v>29.475000000000001</v>
      </c>
      <c r="R87" s="2">
        <f>Q87*$B$129</f>
        <v>65306.326463391793</v>
      </c>
      <c r="S87" s="2">
        <f>VLOOKUP(B87,'MGS Renewals'!$A$7:$E$46,2,FALSE)</f>
        <v>30000</v>
      </c>
      <c r="T87" s="2">
        <f t="shared" ref="T87" si="116">R87-S87</f>
        <v>35306.326463391793</v>
      </c>
      <c r="U87" s="12">
        <v>2.8245061170713401</v>
      </c>
      <c r="V87" s="135">
        <f t="shared" ref="V87" si="117">ROUNDDOWN(U87,0)</f>
        <v>2</v>
      </c>
      <c r="W87" s="136"/>
      <c r="X87" s="12"/>
      <c r="Z87" s="2"/>
      <c r="AA87" s="2"/>
      <c r="AB87" s="12"/>
      <c r="AD87" s="136"/>
    </row>
    <row r="88" spans="1:30" s="5" customFormat="1" x14ac:dyDescent="0.25">
      <c r="B88" s="145" t="s">
        <v>17</v>
      </c>
      <c r="C88" s="146">
        <f>SUM(C87)</f>
        <v>30</v>
      </c>
      <c r="D88" s="146">
        <f t="shared" ref="D88:I88" si="118">SUM(D87)</f>
        <v>13</v>
      </c>
      <c r="E88" s="146">
        <f t="shared" si="118"/>
        <v>29.35</v>
      </c>
      <c r="F88" s="146"/>
      <c r="G88" s="146"/>
      <c r="H88" s="146"/>
      <c r="I88" s="147">
        <f t="shared" si="118"/>
        <v>29.35</v>
      </c>
      <c r="J88" s="146">
        <f>SUM(J87)</f>
        <v>30</v>
      </c>
      <c r="K88" s="146">
        <f>SUM(K87)</f>
        <v>8</v>
      </c>
      <c r="L88" s="146">
        <f>SUM(L87)</f>
        <v>29.6</v>
      </c>
      <c r="M88" s="146">
        <f t="shared" ref="M88:P88" si="119">SUM(M87)</f>
        <v>0</v>
      </c>
      <c r="N88" s="146">
        <f t="shared" si="119"/>
        <v>0</v>
      </c>
      <c r="O88" s="148">
        <f t="shared" si="119"/>
        <v>0</v>
      </c>
      <c r="P88" s="147">
        <f t="shared" si="119"/>
        <v>29.6</v>
      </c>
      <c r="Q88" s="148">
        <f t="shared" si="84"/>
        <v>29.475000000000001</v>
      </c>
      <c r="R88" s="149">
        <f>SUM(R87)</f>
        <v>65306.326463391793</v>
      </c>
      <c r="S88" s="149">
        <f t="shared" ref="S88:V88" si="120">SUM(S87)</f>
        <v>30000</v>
      </c>
      <c r="T88" s="149">
        <f t="shared" si="120"/>
        <v>35306.326463391793</v>
      </c>
      <c r="U88" s="148">
        <f t="shared" si="120"/>
        <v>2.8245061170713401</v>
      </c>
      <c r="V88" s="148">
        <f t="shared" si="120"/>
        <v>2</v>
      </c>
      <c r="W88" s="148">
        <f>ROUNDUP(U88,0)</f>
        <v>3</v>
      </c>
      <c r="X88" s="148"/>
      <c r="Y88" s="149"/>
      <c r="Z88" s="149"/>
      <c r="AA88" s="149"/>
      <c r="AB88" s="148"/>
      <c r="AC88" s="150"/>
      <c r="AD88" s="148"/>
    </row>
    <row r="89" spans="1:30" x14ac:dyDescent="0.25">
      <c r="R89" s="2"/>
      <c r="W89" s="136"/>
      <c r="X89" s="12"/>
      <c r="Z89" s="2"/>
      <c r="AA89" s="2"/>
      <c r="AB89" s="12"/>
      <c r="AD89" s="136"/>
    </row>
    <row r="90" spans="1:30" ht="14.4" x14ac:dyDescent="0.3">
      <c r="A90" s="139" t="s">
        <v>67</v>
      </c>
      <c r="B90" s="3" t="s">
        <v>67</v>
      </c>
      <c r="C90" s="115">
        <v>8</v>
      </c>
      <c r="D90" s="115">
        <v>0</v>
      </c>
      <c r="E90" s="121">
        <v>8</v>
      </c>
      <c r="F90" s="114"/>
      <c r="G90" s="114"/>
      <c r="H90" s="122"/>
      <c r="I90" s="123">
        <v>8</v>
      </c>
      <c r="J90" s="1">
        <f>((VLOOKUP(B90,'OIA Masters table'!A98:Q287,2,FALSE)+(VLOOKUP(B90,'OIA Masters table'!A98:Q287,4,FALSE))))</f>
        <v>6</v>
      </c>
      <c r="K90" s="81">
        <f>(VLOOKUP(Budget!$B90,'OIA Masters table'!A93:Q285,5,FALSE)+(VLOOKUP(Budget!$B90,'OIA Masters table'!A93:Q285,6,FALSE)))</f>
        <v>2</v>
      </c>
      <c r="L90" s="78">
        <f>J90-(K90*$T$1)</f>
        <v>5.9</v>
      </c>
      <c r="P90" s="10">
        <f t="shared" ref="P90" si="121">L90+O90</f>
        <v>5.9</v>
      </c>
      <c r="Q90" s="12">
        <f t="shared" si="84"/>
        <v>6.95</v>
      </c>
      <c r="R90" s="2">
        <f>Q90*$B$129</f>
        <v>15398.777571520712</v>
      </c>
      <c r="S90" s="2">
        <f>VLOOKUP(B90,'MGS Renewals'!$A$7:$E$46,2,FALSE)</f>
        <v>15000</v>
      </c>
      <c r="T90" s="2">
        <f t="shared" ref="T90" si="122">R90-S90</f>
        <v>398.77757152071172</v>
      </c>
      <c r="U90" s="12">
        <v>3.1902205721656897E-2</v>
      </c>
      <c r="V90" s="135">
        <f t="shared" ref="V90" si="123">ROUNDDOWN(U90,0)</f>
        <v>0</v>
      </c>
      <c r="W90" s="136"/>
      <c r="X90" s="12"/>
      <c r="Z90" s="2"/>
      <c r="AA90" s="2"/>
      <c r="AB90" s="12"/>
      <c r="AD90" s="136"/>
    </row>
    <row r="91" spans="1:30" s="5" customFormat="1" x14ac:dyDescent="0.25">
      <c r="B91" s="145" t="s">
        <v>17</v>
      </c>
      <c r="C91" s="146">
        <f>SUM(C90)</f>
        <v>8</v>
      </c>
      <c r="D91" s="146">
        <f t="shared" ref="D91:I91" si="124">SUM(D90)</f>
        <v>0</v>
      </c>
      <c r="E91" s="146">
        <f t="shared" si="124"/>
        <v>8</v>
      </c>
      <c r="F91" s="146"/>
      <c r="G91" s="146"/>
      <c r="H91" s="146"/>
      <c r="I91" s="147">
        <f t="shared" si="124"/>
        <v>8</v>
      </c>
      <c r="J91" s="146">
        <f>SUM(J90)</f>
        <v>6</v>
      </c>
      <c r="K91" s="146">
        <f>SUM(K90)</f>
        <v>2</v>
      </c>
      <c r="L91" s="146">
        <f t="shared" ref="L91:P91" si="125">SUM(L90)</f>
        <v>5.9</v>
      </c>
      <c r="M91" s="146">
        <f t="shared" si="125"/>
        <v>0</v>
      </c>
      <c r="N91" s="146">
        <f t="shared" si="125"/>
        <v>0</v>
      </c>
      <c r="O91" s="148">
        <f t="shared" si="125"/>
        <v>0</v>
      </c>
      <c r="P91" s="147">
        <f t="shared" si="125"/>
        <v>5.9</v>
      </c>
      <c r="Q91" s="148">
        <f t="shared" si="84"/>
        <v>6.95</v>
      </c>
      <c r="R91" s="149">
        <f>SUM(R90)</f>
        <v>15398.777571520712</v>
      </c>
      <c r="S91" s="149">
        <f>SUM(S90)</f>
        <v>15000</v>
      </c>
      <c r="T91" s="149">
        <f t="shared" ref="T91:V91" si="126">SUM(T90)</f>
        <v>398.77757152071172</v>
      </c>
      <c r="U91" s="148">
        <v>3.1902205721656897E-2</v>
      </c>
      <c r="V91" s="148">
        <f t="shared" si="126"/>
        <v>0</v>
      </c>
      <c r="W91" s="148">
        <f>ROUNDUP(U91,0)</f>
        <v>1</v>
      </c>
      <c r="X91" s="148"/>
      <c r="Y91" s="149"/>
      <c r="Z91" s="149"/>
      <c r="AA91" s="149"/>
      <c r="AB91" s="148"/>
      <c r="AC91" s="150"/>
      <c r="AD91" s="148"/>
    </row>
    <row r="92" spans="1:30" x14ac:dyDescent="0.25">
      <c r="R92" s="2"/>
      <c r="W92" s="136"/>
      <c r="X92" s="12"/>
      <c r="Z92" s="2"/>
      <c r="AA92" s="2"/>
      <c r="AB92" s="12"/>
      <c r="AD92" s="136"/>
    </row>
    <row r="93" spans="1:30" ht="14.4" x14ac:dyDescent="0.3">
      <c r="A93" s="139" t="s">
        <v>68</v>
      </c>
      <c r="B93" s="3" t="s">
        <v>69</v>
      </c>
      <c r="C93" s="117">
        <v>13</v>
      </c>
      <c r="D93" s="117">
        <v>1</v>
      </c>
      <c r="E93" s="121">
        <v>12.95</v>
      </c>
      <c r="F93" s="116"/>
      <c r="G93" s="116"/>
      <c r="H93" s="122"/>
      <c r="I93" s="123">
        <v>12.95</v>
      </c>
      <c r="J93" s="1">
        <f>((VLOOKUP(B93,'OIA Masters table'!A101:Q290,2,FALSE)+(VLOOKUP(B93,'OIA Masters table'!A101:Q290,4,FALSE))))</f>
        <v>15</v>
      </c>
      <c r="K93" s="81">
        <f>(VLOOKUP(Budget!$B93,'OIA Masters table'!A96:Q288,5,FALSE)+(VLOOKUP(Budget!$B93,'OIA Masters table'!A96:Q288,6,FALSE)))</f>
        <v>3</v>
      </c>
      <c r="L93" s="78">
        <f>J93-(K93*$T$1)</f>
        <v>14.85</v>
      </c>
      <c r="P93" s="10">
        <f t="shared" ref="P93" si="127">L93+O93</f>
        <v>14.85</v>
      </c>
      <c r="Q93" s="12">
        <f t="shared" si="84"/>
        <v>13.899999999999999</v>
      </c>
      <c r="R93" s="2">
        <f>Q93*$B$129</f>
        <v>30797.55514304142</v>
      </c>
      <c r="S93" s="2">
        <f>VLOOKUP(B93,'MGS Renewals'!$A$7:$E$46,2,FALSE)</f>
        <v>35000</v>
      </c>
      <c r="T93" s="2">
        <f t="shared" ref="T93" si="128">R93-S93</f>
        <v>-4202.4448569585802</v>
      </c>
      <c r="U93" s="12">
        <v>-0.33619558855668602</v>
      </c>
      <c r="V93" s="135">
        <f t="shared" ref="V93" si="129">ROUNDDOWN(U93,0)</f>
        <v>0</v>
      </c>
      <c r="W93" s="136"/>
      <c r="X93" s="12"/>
      <c r="Z93" s="2"/>
      <c r="AA93" s="2"/>
      <c r="AB93" s="12"/>
      <c r="AD93" s="136"/>
    </row>
    <row r="94" spans="1:30" s="5" customFormat="1" x14ac:dyDescent="0.25">
      <c r="B94" s="145" t="s">
        <v>17</v>
      </c>
      <c r="C94" s="146">
        <f>SUM(C93)</f>
        <v>13</v>
      </c>
      <c r="D94" s="146">
        <f t="shared" ref="D94:I94" si="130">SUM(D93)</f>
        <v>1</v>
      </c>
      <c r="E94" s="146">
        <f t="shared" si="130"/>
        <v>12.95</v>
      </c>
      <c r="F94" s="146"/>
      <c r="G94" s="146"/>
      <c r="H94" s="146"/>
      <c r="I94" s="147">
        <f t="shared" si="130"/>
        <v>12.95</v>
      </c>
      <c r="J94" s="146">
        <f>SUM(J93)</f>
        <v>15</v>
      </c>
      <c r="K94" s="146">
        <f>SUM(K93)</f>
        <v>3</v>
      </c>
      <c r="L94" s="146">
        <f t="shared" ref="L94:P94" si="131">SUM(L93)</f>
        <v>14.85</v>
      </c>
      <c r="M94" s="146">
        <f t="shared" si="131"/>
        <v>0</v>
      </c>
      <c r="N94" s="146">
        <f t="shared" si="131"/>
        <v>0</v>
      </c>
      <c r="O94" s="148">
        <f t="shared" si="131"/>
        <v>0</v>
      </c>
      <c r="P94" s="147">
        <f t="shared" si="131"/>
        <v>14.85</v>
      </c>
      <c r="Q94" s="148">
        <f t="shared" si="84"/>
        <v>13.899999999999999</v>
      </c>
      <c r="R94" s="149">
        <f>SUM(R93)</f>
        <v>30797.55514304142</v>
      </c>
      <c r="S94" s="149">
        <f>SUM(S93)</f>
        <v>35000</v>
      </c>
      <c r="T94" s="149">
        <f t="shared" ref="T94:V94" si="132">SUM(T93)</f>
        <v>-4202.4448569585802</v>
      </c>
      <c r="U94" s="148">
        <f t="shared" si="132"/>
        <v>-0.33619558855668602</v>
      </c>
      <c r="V94" s="148">
        <f t="shared" si="132"/>
        <v>0</v>
      </c>
      <c r="W94" s="148">
        <f>ROUNDUP(U94,0)</f>
        <v>-1</v>
      </c>
      <c r="X94" s="148"/>
      <c r="Y94" s="149"/>
      <c r="Z94" s="149"/>
      <c r="AA94" s="149"/>
      <c r="AB94" s="148"/>
      <c r="AC94" s="150"/>
      <c r="AD94" s="148"/>
    </row>
    <row r="95" spans="1:30" x14ac:dyDescent="0.25">
      <c r="R95" s="2"/>
      <c r="W95" s="136"/>
      <c r="X95" s="12"/>
      <c r="Z95" s="2"/>
      <c r="AA95" s="2"/>
      <c r="AB95" s="12"/>
      <c r="AD95" s="136"/>
    </row>
    <row r="96" spans="1:30" x14ac:dyDescent="0.25">
      <c r="A96" s="139" t="s">
        <v>70</v>
      </c>
      <c r="B96" s="3" t="s">
        <v>71</v>
      </c>
      <c r="C96" s="119">
        <v>33</v>
      </c>
      <c r="D96" s="119">
        <v>17</v>
      </c>
      <c r="E96" s="121">
        <v>32.15</v>
      </c>
      <c r="F96" s="119">
        <v>19</v>
      </c>
      <c r="G96" s="119">
        <v>7</v>
      </c>
      <c r="H96" s="121">
        <v>18.649999999999999</v>
      </c>
      <c r="I96" s="123">
        <v>50.8</v>
      </c>
      <c r="J96" s="1">
        <f>((VLOOKUP(B96,'OIA Masters table'!A104:Q293,2,FALSE)+(VLOOKUP(B96,'OIA Masters table'!A104:Q293,4,FALSE))))</f>
        <v>49</v>
      </c>
      <c r="K96" s="81">
        <f>(VLOOKUP(Budget!$B96,'OIA Masters table'!A99:Q291,5,FALSE)+(VLOOKUP(Budget!$B96,'OIA Masters table'!A99:Q291,6,FALSE)))</f>
        <v>14</v>
      </c>
      <c r="L96" s="78">
        <f t="shared" ref="L96:L102" si="133">J96-(K96*$T$1)</f>
        <v>48.3</v>
      </c>
      <c r="M96" s="81">
        <f>(VLOOKUP($B96,'OIA PHD_table'!$A$12:$R$129,2,FALSE)+(VLOOKUP($B96,'OIA PHD_table'!$A$12:$R$129,4,FALSE)))</f>
        <v>16</v>
      </c>
      <c r="N96" s="81">
        <f>(VLOOKUP($B96,'OIA PHD_table'!$A$12:$R$129,5,FALSE)+(VLOOKUP($B96,'OIA PHD_table'!$A$12:$R$129,6,FALSE)))</f>
        <v>10</v>
      </c>
      <c r="O96" s="14">
        <f t="shared" ref="O96:O102" si="134">M96-(N96*$T$1)</f>
        <v>15.5</v>
      </c>
      <c r="P96" s="10">
        <f t="shared" ref="P96:P102" si="135">L96+O96</f>
        <v>63.8</v>
      </c>
      <c r="Q96" s="12">
        <f t="shared" si="84"/>
        <v>40.224999999999994</v>
      </c>
      <c r="R96" s="2">
        <f t="shared" ref="R96:R102" si="136">Q96*$B$129</f>
        <v>89124.579541643237</v>
      </c>
      <c r="S96" s="2">
        <f>VLOOKUP(B96,'MGS Renewals'!$A$7:$E$46,2,FALSE)</f>
        <v>20000</v>
      </c>
      <c r="T96" s="2">
        <f t="shared" ref="T96:T102" si="137">R96-S96</f>
        <v>69124.579541643237</v>
      </c>
      <c r="U96" s="12">
        <v>5.52996636333146</v>
      </c>
      <c r="V96" s="135">
        <f t="shared" ref="V96:V102" si="138">ROUNDDOWN(U96,0)</f>
        <v>5</v>
      </c>
      <c r="W96" s="136"/>
      <c r="X96" s="12">
        <f t="shared" ref="X96:X102" si="139">AVERAGE(H96,O96)</f>
        <v>17.074999999999999</v>
      </c>
      <c r="Y96" s="2">
        <f t="shared" ref="Y96:Y102" si="140">X96*$B$120</f>
        <v>91315.337787349999</v>
      </c>
      <c r="Z96" s="2">
        <f>VLOOKUP(B96,'UMGF Renewals'!A$4:C$61,3,FALSE)</f>
        <v>18000</v>
      </c>
      <c r="AA96" s="2">
        <f t="shared" ref="AA96:AA102" si="141">Y96-Z96</f>
        <v>73315.337787349999</v>
      </c>
      <c r="AB96" s="12">
        <v>4.88768918582333</v>
      </c>
      <c r="AC96" s="141">
        <f t="shared" ref="AC96:AC102" si="142">ROUNDDOWN(AB96,0)</f>
        <v>4</v>
      </c>
      <c r="AD96" s="136"/>
    </row>
    <row r="97" spans="1:30" x14ac:dyDescent="0.25">
      <c r="B97" s="3" t="s">
        <v>73</v>
      </c>
      <c r="C97" s="119">
        <v>24</v>
      </c>
      <c r="D97" s="119">
        <v>6</v>
      </c>
      <c r="E97" s="121">
        <v>23.7</v>
      </c>
      <c r="F97" s="119">
        <v>19</v>
      </c>
      <c r="G97" s="119">
        <v>11</v>
      </c>
      <c r="H97" s="121">
        <v>18.45</v>
      </c>
      <c r="I97" s="123">
        <v>42.15</v>
      </c>
      <c r="J97" s="1">
        <f>((VLOOKUP(B97,'OIA Masters table'!A106:Q295,2,FALSE)+(VLOOKUP(B97,'OIA Masters table'!A106:Q295,4,FALSE))))</f>
        <v>21</v>
      </c>
      <c r="K97" s="81">
        <f>(VLOOKUP(Budget!$B97,'OIA Masters table'!A101:Q293,5,FALSE)+(VLOOKUP(Budget!$B97,'OIA Masters table'!A101:Q293,6,FALSE)))</f>
        <v>6</v>
      </c>
      <c r="L97" s="78">
        <f t="shared" si="133"/>
        <v>20.7</v>
      </c>
      <c r="M97" s="81">
        <f>(VLOOKUP($B97,'OIA PHD_table'!$A$12:$R$129,2,FALSE)+(VLOOKUP($B97,'OIA PHD_table'!$A$12:$R$129,4,FALSE)))</f>
        <v>24</v>
      </c>
      <c r="N97" s="81">
        <f>(VLOOKUP($B97,'OIA PHD_table'!$A$12:$R$129,5,FALSE)+(VLOOKUP($B97,'OIA PHD_table'!$A$12:$R$129,6,FALSE)))</f>
        <v>4</v>
      </c>
      <c r="O97" s="14">
        <f t="shared" si="134"/>
        <v>23.8</v>
      </c>
      <c r="P97" s="10">
        <f t="shared" si="135"/>
        <v>44.5</v>
      </c>
      <c r="Q97" s="12">
        <f t="shared" si="84"/>
        <v>22.2</v>
      </c>
      <c r="R97" s="2">
        <f t="shared" si="136"/>
        <v>49187.462170900682</v>
      </c>
      <c r="S97" s="2">
        <f>VLOOKUP(B97,'MGS Renewals'!$A$7:$E$46,2,FALSE)</f>
        <v>20000</v>
      </c>
      <c r="T97" s="2">
        <f t="shared" si="137"/>
        <v>29187.462170900682</v>
      </c>
      <c r="U97" s="12">
        <v>2.3349969736720499</v>
      </c>
      <c r="V97" s="135">
        <f t="shared" si="138"/>
        <v>2</v>
      </c>
      <c r="W97" s="136"/>
      <c r="X97" s="12">
        <f t="shared" si="139"/>
        <v>21.125</v>
      </c>
      <c r="Y97" s="2">
        <f t="shared" si="140"/>
        <v>112974.31981011822</v>
      </c>
      <c r="Z97" s="2">
        <f>VLOOKUP(B97,'UMGF Renewals'!A$4:C$61,3,FALSE)</f>
        <v>90000</v>
      </c>
      <c r="AA97" s="2">
        <f t="shared" si="141"/>
        <v>22974.319810118221</v>
      </c>
      <c r="AB97" s="12">
        <v>1.5316213206745499</v>
      </c>
      <c r="AC97" s="141">
        <f t="shared" si="142"/>
        <v>1</v>
      </c>
      <c r="AD97" s="136"/>
    </row>
    <row r="98" spans="1:30" x14ac:dyDescent="0.25">
      <c r="B98" s="3" t="s">
        <v>74</v>
      </c>
      <c r="C98" s="119">
        <v>35</v>
      </c>
      <c r="D98" s="119">
        <v>12</v>
      </c>
      <c r="E98" s="121">
        <v>34.4</v>
      </c>
      <c r="F98" s="119">
        <v>16</v>
      </c>
      <c r="G98" s="119">
        <v>5</v>
      </c>
      <c r="H98" s="121">
        <v>15.75</v>
      </c>
      <c r="I98" s="123">
        <v>50.15</v>
      </c>
      <c r="J98" s="1">
        <f>((VLOOKUP(B98,'OIA Masters table'!A107:Q296,2,FALSE)+(VLOOKUP(B98,'OIA Masters table'!A107:Q296,4,FALSE))))</f>
        <v>33</v>
      </c>
      <c r="K98" s="81">
        <f>(VLOOKUP(Budget!$B98,'OIA Masters table'!A102:Q294,5,FALSE)+(VLOOKUP(Budget!$B98,'OIA Masters table'!A102:Q294,6,FALSE)))</f>
        <v>15</v>
      </c>
      <c r="L98" s="78">
        <f t="shared" si="133"/>
        <v>32.25</v>
      </c>
      <c r="M98" s="81">
        <f>(VLOOKUP($B98,'OIA PHD_table'!$A$12:$R$129,2,FALSE)+(VLOOKUP($B98,'OIA PHD_table'!$A$12:$R$129,4,FALSE)))</f>
        <v>18</v>
      </c>
      <c r="N98" s="81">
        <f>(VLOOKUP($B98,'OIA PHD_table'!$A$12:$R$129,5,FALSE)+(VLOOKUP($B98,'OIA PHD_table'!$A$12:$R$129,6,FALSE)))</f>
        <v>4</v>
      </c>
      <c r="O98" s="14">
        <f t="shared" si="134"/>
        <v>17.8</v>
      </c>
      <c r="P98" s="10">
        <f t="shared" si="135"/>
        <v>50.05</v>
      </c>
      <c r="Q98" s="12">
        <f t="shared" si="84"/>
        <v>33.325000000000003</v>
      </c>
      <c r="R98" s="2">
        <f t="shared" si="136"/>
        <v>73836.584542579527</v>
      </c>
      <c r="T98" s="2">
        <f t="shared" si="137"/>
        <v>73836.584542579527</v>
      </c>
      <c r="U98" s="12">
        <v>5.9069267634063598</v>
      </c>
      <c r="V98" s="135">
        <f t="shared" si="138"/>
        <v>5</v>
      </c>
      <c r="W98" s="136"/>
      <c r="X98" s="12">
        <f t="shared" si="139"/>
        <v>16.774999999999999</v>
      </c>
      <c r="Y98" s="2">
        <f t="shared" si="140"/>
        <v>89710.968748626416</v>
      </c>
      <c r="Z98" s="2">
        <f>VLOOKUP(B98,'UMGF Renewals'!A$4:C$61,3,FALSE)</f>
        <v>48000</v>
      </c>
      <c r="AA98" s="2">
        <f t="shared" si="141"/>
        <v>41710.968748626416</v>
      </c>
      <c r="AB98" s="12">
        <v>2.7807312499084298</v>
      </c>
      <c r="AC98" s="141">
        <f t="shared" si="142"/>
        <v>2</v>
      </c>
      <c r="AD98" s="136"/>
    </row>
    <row r="99" spans="1:30" x14ac:dyDescent="0.25">
      <c r="B99" s="3" t="s">
        <v>75</v>
      </c>
      <c r="C99" s="119">
        <v>10</v>
      </c>
      <c r="D99" s="119">
        <v>3</v>
      </c>
      <c r="E99" s="121">
        <v>9.85</v>
      </c>
      <c r="F99" s="119">
        <v>12</v>
      </c>
      <c r="G99" s="119">
        <v>7</v>
      </c>
      <c r="H99" s="121">
        <v>11.65</v>
      </c>
      <c r="I99" s="123">
        <v>21.5</v>
      </c>
      <c r="J99" s="1">
        <f>((VLOOKUP(B99,'OIA Masters table'!A108:Q297,2,FALSE)+(VLOOKUP(B99,'OIA Masters table'!A108:Q297,4,FALSE))))</f>
        <v>13</v>
      </c>
      <c r="K99" s="81">
        <f>(VLOOKUP(Budget!$B99,'OIA Masters table'!A103:Q295,5,FALSE)+(VLOOKUP(Budget!$B99,'OIA Masters table'!A103:Q295,6,FALSE)))</f>
        <v>5</v>
      </c>
      <c r="L99" s="78">
        <f t="shared" si="133"/>
        <v>12.75</v>
      </c>
      <c r="M99" s="81">
        <f>(VLOOKUP($B99,'OIA PHD_table'!$A$12:$R$129,2,FALSE)+(VLOOKUP($B99,'OIA PHD_table'!$A$12:$R$129,4,FALSE)))</f>
        <v>12</v>
      </c>
      <c r="N99" s="81">
        <f>(VLOOKUP($B99,'OIA PHD_table'!$A$12:$R$129,5,FALSE)+(VLOOKUP($B99,'OIA PHD_table'!$A$12:$R$129,6,FALSE)))</f>
        <v>5</v>
      </c>
      <c r="O99" s="14">
        <f t="shared" si="134"/>
        <v>11.75</v>
      </c>
      <c r="P99" s="10">
        <f t="shared" si="135"/>
        <v>24.5</v>
      </c>
      <c r="Q99" s="12">
        <f t="shared" si="84"/>
        <v>11.3</v>
      </c>
      <c r="R99" s="2">
        <f t="shared" si="136"/>
        <v>25036.86137527828</v>
      </c>
      <c r="S99" s="2">
        <f>VLOOKUP(B99,'MGS Renewals'!$A$7:$E$46,2,FALSE)</f>
        <v>50000</v>
      </c>
      <c r="T99" s="2">
        <f t="shared" si="137"/>
        <v>-24963.13862472172</v>
      </c>
      <c r="U99" s="12">
        <v>-1.9970510899777401</v>
      </c>
      <c r="V99" s="135">
        <f t="shared" si="138"/>
        <v>-1</v>
      </c>
      <c r="W99" s="136"/>
      <c r="X99" s="12">
        <f t="shared" si="139"/>
        <v>11.7</v>
      </c>
      <c r="Y99" s="2">
        <f t="shared" si="140"/>
        <v>62570.392510219324</v>
      </c>
      <c r="Z99" s="2">
        <f>VLOOKUP(B99,'UMGF Renewals'!A$4:C$61,3,FALSE)</f>
        <v>42000</v>
      </c>
      <c r="AA99" s="2">
        <f t="shared" si="141"/>
        <v>20570.392510219324</v>
      </c>
      <c r="AB99" s="12">
        <v>1.37135950068129</v>
      </c>
      <c r="AC99" s="141">
        <f t="shared" si="142"/>
        <v>1</v>
      </c>
      <c r="AD99" s="136"/>
    </row>
    <row r="100" spans="1:30" x14ac:dyDescent="0.25">
      <c r="B100" s="3" t="s">
        <v>76</v>
      </c>
      <c r="C100" s="119">
        <v>8</v>
      </c>
      <c r="D100" s="119">
        <v>2</v>
      </c>
      <c r="E100" s="121">
        <v>7.9</v>
      </c>
      <c r="F100" s="119">
        <v>15</v>
      </c>
      <c r="G100" s="119">
        <v>12</v>
      </c>
      <c r="H100" s="121">
        <v>14.4</v>
      </c>
      <c r="I100" s="123">
        <v>22.3</v>
      </c>
      <c r="J100" s="1">
        <f>((VLOOKUP(B100,'OIA Masters table'!A109:Q298,2,FALSE)+(VLOOKUP(B100,'OIA Masters table'!A109:Q298,4,FALSE))))</f>
        <v>11</v>
      </c>
      <c r="K100" s="81">
        <f>(VLOOKUP(Budget!$B100,'OIA Masters table'!A104:Q296,5,FALSE)+(VLOOKUP(Budget!$B100,'OIA Masters table'!A104:Q296,6,FALSE)))</f>
        <v>1</v>
      </c>
      <c r="L100" s="78">
        <f t="shared" si="133"/>
        <v>10.95</v>
      </c>
      <c r="M100" s="81">
        <f>(VLOOKUP($B100,'OIA PHD_table'!$A$12:$R$129,2,FALSE)+(VLOOKUP($B100,'OIA PHD_table'!$A$12:$R$129,4,FALSE)))</f>
        <v>12</v>
      </c>
      <c r="N100" s="81">
        <f>(VLOOKUP($B100,'OIA PHD_table'!$A$12:$R$129,5,FALSE)+(VLOOKUP($B100,'OIA PHD_table'!$A$12:$R$129,6,FALSE)))</f>
        <v>17</v>
      </c>
      <c r="O100" s="14">
        <f t="shared" si="134"/>
        <v>11.15</v>
      </c>
      <c r="P100" s="10">
        <f t="shared" si="135"/>
        <v>22.1</v>
      </c>
      <c r="Q100" s="12">
        <f t="shared" si="84"/>
        <v>9.4250000000000007</v>
      </c>
      <c r="R100" s="2">
        <f t="shared" si="136"/>
        <v>20882.514908141398</v>
      </c>
      <c r="T100" s="2">
        <f t="shared" si="137"/>
        <v>20882.514908141398</v>
      </c>
      <c r="U100" s="12">
        <v>1.67060119265131</v>
      </c>
      <c r="V100" s="135">
        <f t="shared" si="138"/>
        <v>1</v>
      </c>
      <c r="W100" s="136"/>
      <c r="X100" s="12">
        <f t="shared" si="139"/>
        <v>12.775</v>
      </c>
      <c r="Y100" s="2">
        <f t="shared" si="140"/>
        <v>68319.381565645468</v>
      </c>
      <c r="Z100" s="2">
        <f>VLOOKUP(B100,'UMGF Renewals'!A$4:C$61,3,FALSE)</f>
        <v>60000</v>
      </c>
      <c r="AA100" s="2">
        <f t="shared" si="141"/>
        <v>8319.3815656454681</v>
      </c>
      <c r="AB100" s="12">
        <v>0.55462543770969797</v>
      </c>
      <c r="AC100" s="141">
        <f t="shared" si="142"/>
        <v>0</v>
      </c>
      <c r="AD100" s="136"/>
    </row>
    <row r="101" spans="1:30" x14ac:dyDescent="0.25">
      <c r="B101" s="3" t="s">
        <v>77</v>
      </c>
      <c r="C101" s="119">
        <v>17</v>
      </c>
      <c r="D101" s="119">
        <v>10</v>
      </c>
      <c r="E101" s="121">
        <v>16.5</v>
      </c>
      <c r="F101" s="119">
        <v>21</v>
      </c>
      <c r="G101" s="119">
        <v>15</v>
      </c>
      <c r="H101" s="121">
        <v>20.25</v>
      </c>
      <c r="I101" s="123">
        <v>36.75</v>
      </c>
      <c r="J101" s="1">
        <f>((VLOOKUP(B101,'OIA Masters table'!A110:Q299,2,FALSE)+(VLOOKUP(B101,'OIA Masters table'!A110:Q299,4,FALSE))))</f>
        <v>16</v>
      </c>
      <c r="K101" s="81">
        <f>(VLOOKUP(Budget!$B101,'OIA Masters table'!A105:Q297,5,FALSE)+(VLOOKUP(Budget!$B101,'OIA Masters table'!A105:Q297,6,FALSE)))</f>
        <v>9</v>
      </c>
      <c r="L101" s="78">
        <f t="shared" si="133"/>
        <v>15.55</v>
      </c>
      <c r="M101" s="81">
        <f>(VLOOKUP($B101,'OIA PHD_table'!$A$12:$R$129,2,FALSE)+(VLOOKUP($B101,'OIA PHD_table'!$A$12:$R$129,4,FALSE)))</f>
        <v>28</v>
      </c>
      <c r="N101" s="81">
        <f>(VLOOKUP($B101,'OIA PHD_table'!$A$12:$R$129,5,FALSE)+(VLOOKUP($B101,'OIA PHD_table'!$A$12:$R$129,6,FALSE)))</f>
        <v>14</v>
      </c>
      <c r="O101" s="14">
        <f t="shared" si="134"/>
        <v>27.3</v>
      </c>
      <c r="P101" s="10">
        <f t="shared" si="135"/>
        <v>42.85</v>
      </c>
      <c r="Q101" s="12">
        <f t="shared" si="84"/>
        <v>16.024999999999999</v>
      </c>
      <c r="R101" s="2">
        <f t="shared" si="136"/>
        <v>35505.814472463215</v>
      </c>
      <c r="S101" s="2">
        <f>VLOOKUP(B101,'MGS Renewals'!$A$7:$E$46,2,FALSE)</f>
        <v>10000</v>
      </c>
      <c r="T101" s="2">
        <f t="shared" si="137"/>
        <v>25505.814472463215</v>
      </c>
      <c r="U101" s="12">
        <v>2.0404651577970601</v>
      </c>
      <c r="V101" s="135">
        <f t="shared" si="138"/>
        <v>2</v>
      </c>
      <c r="W101" s="136"/>
      <c r="X101" s="12">
        <f t="shared" si="139"/>
        <v>23.774999999999999</v>
      </c>
      <c r="Y101" s="2">
        <f t="shared" si="140"/>
        <v>127146.24631884311</v>
      </c>
      <c r="Z101" s="2">
        <f>VLOOKUP(B101,'UMGF Renewals'!A$4:C$61,3,FALSE)</f>
        <v>180000</v>
      </c>
      <c r="AA101" s="2">
        <f t="shared" si="141"/>
        <v>-52853.753681156886</v>
      </c>
      <c r="AB101" s="12">
        <v>-3.5235835787437901</v>
      </c>
      <c r="AC101" s="141">
        <f t="shared" si="142"/>
        <v>-3</v>
      </c>
      <c r="AD101" s="136"/>
    </row>
    <row r="102" spans="1:30" x14ac:dyDescent="0.25">
      <c r="B102" s="3" t="s">
        <v>78</v>
      </c>
      <c r="C102" s="119">
        <v>12</v>
      </c>
      <c r="D102" s="119">
        <v>2</v>
      </c>
      <c r="E102" s="121">
        <v>11.9</v>
      </c>
      <c r="F102" s="119">
        <v>6</v>
      </c>
      <c r="G102" s="119">
        <v>6</v>
      </c>
      <c r="H102" s="121">
        <v>5.7</v>
      </c>
      <c r="I102" s="123">
        <v>17.600000000000001</v>
      </c>
      <c r="J102" s="1">
        <f>((VLOOKUP(B102,'OIA Masters table'!A111:Q300,2,FALSE)+(VLOOKUP(B102,'OIA Masters table'!A111:Q300,4,FALSE))))</f>
        <v>10</v>
      </c>
      <c r="K102" s="81">
        <f>(VLOOKUP(Budget!$B102,'OIA Masters table'!A106:Q298,5,FALSE)+(VLOOKUP(Budget!$B102,'OIA Masters table'!A106:Q298,6,FALSE)))</f>
        <v>3</v>
      </c>
      <c r="L102" s="78">
        <f t="shared" si="133"/>
        <v>9.85</v>
      </c>
      <c r="M102" s="81">
        <f>(VLOOKUP($B102,'OIA PHD_table'!$A$12:$R$129,2,FALSE)+(VLOOKUP($B102,'OIA PHD_table'!$A$12:$R$129,4,FALSE)))</f>
        <v>8</v>
      </c>
      <c r="N102" s="81">
        <f>(VLOOKUP($B102,'OIA PHD_table'!$A$12:$R$129,5,FALSE)+(VLOOKUP($B102,'OIA PHD_table'!$A$12:$R$129,6,FALSE)))</f>
        <v>5</v>
      </c>
      <c r="O102" s="14">
        <f t="shared" si="134"/>
        <v>7.75</v>
      </c>
      <c r="P102" s="10">
        <f t="shared" si="135"/>
        <v>17.600000000000001</v>
      </c>
      <c r="Q102" s="12">
        <f t="shared" si="84"/>
        <v>10.875</v>
      </c>
      <c r="R102" s="2">
        <f t="shared" si="136"/>
        <v>24095.209509393917</v>
      </c>
      <c r="S102" s="2">
        <f>VLOOKUP(B102,'MGS Renewals'!$A$7:$E$46,2,FALSE)</f>
        <v>5000</v>
      </c>
      <c r="T102" s="2">
        <f t="shared" si="137"/>
        <v>19095.209509393917</v>
      </c>
      <c r="U102" s="12">
        <v>1.5276167607515101</v>
      </c>
      <c r="V102" s="135">
        <f t="shared" si="138"/>
        <v>1</v>
      </c>
      <c r="W102" s="136"/>
      <c r="X102" s="12">
        <f t="shared" si="139"/>
        <v>6.7249999999999996</v>
      </c>
      <c r="Y102" s="2">
        <f t="shared" si="140"/>
        <v>35964.605951386744</v>
      </c>
      <c r="Z102" s="2">
        <f>VLOOKUP(B102,'UMGF Renewals'!A$4:C$61,3,FALSE)</f>
        <v>36000</v>
      </c>
      <c r="AA102" s="2">
        <f t="shared" si="141"/>
        <v>-35.394048613256018</v>
      </c>
      <c r="AB102" s="12">
        <v>-2.3596032408837301E-3</v>
      </c>
      <c r="AC102" s="141">
        <f t="shared" si="142"/>
        <v>0</v>
      </c>
      <c r="AD102" s="136"/>
    </row>
    <row r="103" spans="1:30" s="5" customFormat="1" x14ac:dyDescent="0.25">
      <c r="B103" s="145" t="s">
        <v>17</v>
      </c>
      <c r="C103" s="146">
        <f t="shared" ref="C103:P103" si="143">SUM(C96:C102)</f>
        <v>139</v>
      </c>
      <c r="D103" s="146">
        <f t="shared" si="143"/>
        <v>52</v>
      </c>
      <c r="E103" s="146">
        <f t="shared" si="143"/>
        <v>136.4</v>
      </c>
      <c r="F103" s="146">
        <f t="shared" si="143"/>
        <v>108</v>
      </c>
      <c r="G103" s="146">
        <f t="shared" si="143"/>
        <v>63</v>
      </c>
      <c r="H103" s="146">
        <f t="shared" si="143"/>
        <v>104.85000000000001</v>
      </c>
      <c r="I103" s="147">
        <f t="shared" si="143"/>
        <v>241.25</v>
      </c>
      <c r="J103" s="146">
        <f t="shared" si="143"/>
        <v>153</v>
      </c>
      <c r="K103" s="146">
        <f t="shared" si="143"/>
        <v>53</v>
      </c>
      <c r="L103" s="146">
        <f t="shared" si="143"/>
        <v>150.35</v>
      </c>
      <c r="M103" s="146">
        <f t="shared" si="143"/>
        <v>118</v>
      </c>
      <c r="N103" s="146">
        <f t="shared" si="143"/>
        <v>59</v>
      </c>
      <c r="O103" s="148">
        <f t="shared" si="143"/>
        <v>115.05</v>
      </c>
      <c r="P103" s="147">
        <f t="shared" si="143"/>
        <v>265.39999999999998</v>
      </c>
      <c r="Q103" s="148">
        <f t="shared" si="84"/>
        <v>143.375</v>
      </c>
      <c r="R103" s="149">
        <f>SUM(R96:R102)</f>
        <v>317669.02652040025</v>
      </c>
      <c r="S103" s="149">
        <f>SUM(S96:S102)</f>
        <v>105000</v>
      </c>
      <c r="T103" s="149">
        <f>SUM(T96:T102)</f>
        <v>212669.02652040028</v>
      </c>
      <c r="U103" s="148">
        <f>SUM(U96:U102)</f>
        <v>17.013522121632011</v>
      </c>
      <c r="V103" s="148">
        <f>SUM(V96:V102)</f>
        <v>15</v>
      </c>
      <c r="W103" s="148">
        <f>ROUNDUP(U103,0)</f>
        <v>18</v>
      </c>
      <c r="X103" s="148">
        <f t="shared" ref="X103:AC103" si="144">SUM(X96:X102)</f>
        <v>109.94999999999999</v>
      </c>
      <c r="Y103" s="149">
        <f t="shared" si="144"/>
        <v>588001.2526921893</v>
      </c>
      <c r="Z103" s="149">
        <f t="shared" si="144"/>
        <v>474000</v>
      </c>
      <c r="AA103" s="149">
        <f t="shared" si="144"/>
        <v>114001.25269218933</v>
      </c>
      <c r="AB103" s="148">
        <f t="shared" si="144"/>
        <v>7.6000835128126223</v>
      </c>
      <c r="AC103" s="150">
        <f t="shared" si="144"/>
        <v>5</v>
      </c>
      <c r="AD103" s="148">
        <f>ROUND(AB103,0)</f>
        <v>8</v>
      </c>
    </row>
    <row r="104" spans="1:30" x14ac:dyDescent="0.25">
      <c r="R104" s="2"/>
      <c r="W104" s="136"/>
      <c r="X104" s="12"/>
      <c r="Z104" s="2"/>
      <c r="AA104" s="2"/>
      <c r="AB104" s="12"/>
      <c r="AD104" s="136"/>
    </row>
    <row r="105" spans="1:30" x14ac:dyDescent="0.25">
      <c r="A105" s="139" t="s">
        <v>80</v>
      </c>
      <c r="B105" s="3" t="s">
        <v>80</v>
      </c>
      <c r="C105" s="120">
        <v>38</v>
      </c>
      <c r="D105" s="120">
        <v>25</v>
      </c>
      <c r="E105" s="121">
        <v>36.75</v>
      </c>
      <c r="F105" s="120">
        <v>7</v>
      </c>
      <c r="G105" s="120">
        <v>10</v>
      </c>
      <c r="H105" s="121">
        <v>6.5</v>
      </c>
      <c r="I105" s="123">
        <v>43.25</v>
      </c>
      <c r="J105" s="1">
        <f>((VLOOKUP(B105,'OIA Masters table'!A115:Q304,2,FALSE)+(VLOOKUP(B105,'OIA Masters table'!A115:Q304,4,FALSE))))</f>
        <v>36</v>
      </c>
      <c r="K105" s="81">
        <f>(VLOOKUP(Budget!$B105,'OIA Masters table'!A110:Q302,5,FALSE)+(VLOOKUP(Budget!$B105,'OIA Masters table'!A110:Q302,6,FALSE)))</f>
        <v>32</v>
      </c>
      <c r="L105" s="78">
        <f>J105-(K105*$T$1)</f>
        <v>34.4</v>
      </c>
      <c r="M105" s="81">
        <f>(VLOOKUP($B105,'OIA PHD_table'!$A$12:$R$129,2,FALSE)+(VLOOKUP($B105,'OIA PHD_table'!$A$12:$R$129,4,FALSE)))</f>
        <v>3</v>
      </c>
      <c r="N105" s="81">
        <f>(VLOOKUP($B105,'OIA PHD_table'!$A$12:$R$129,5,FALSE)+(VLOOKUP($B105,'OIA PHD_table'!$A$12:$R$129,6,FALSE)))</f>
        <v>10</v>
      </c>
      <c r="O105" s="14">
        <f>M105-(N105*$T$1)</f>
        <v>2.5</v>
      </c>
      <c r="P105" s="10">
        <f t="shared" ref="P105" si="145">L105+O105</f>
        <v>36.9</v>
      </c>
      <c r="Q105" s="12">
        <f t="shared" si="84"/>
        <v>35.575000000000003</v>
      </c>
      <c r="R105" s="2">
        <f t="shared" ref="R105" si="146">Q105*$B$129</f>
        <v>78821.800303143784</v>
      </c>
      <c r="S105" s="2">
        <f>VLOOKUP(B105,'MGS Renewals'!$A$7:$E$46,2,FALSE)</f>
        <v>35000</v>
      </c>
      <c r="T105" s="2">
        <f t="shared" ref="T105" si="147">R105-S105</f>
        <v>43821.800303143784</v>
      </c>
      <c r="U105" s="12">
        <v>3.5057440242514999</v>
      </c>
      <c r="V105" s="135">
        <f t="shared" ref="V105" si="148">ROUNDDOWN(U105,0)</f>
        <v>3</v>
      </c>
      <c r="W105" s="136"/>
      <c r="X105" s="12">
        <f>AVERAGE(H105,O105)</f>
        <v>4.5</v>
      </c>
      <c r="Y105" s="2">
        <f t="shared" ref="Y105" si="149">X105*$B$120</f>
        <v>24065.535580853586</v>
      </c>
      <c r="Z105" s="2">
        <f>VLOOKUP(B105,'UMGF Renewals'!A$4:C$61,3,FALSE)</f>
        <v>36000</v>
      </c>
      <c r="AA105" s="2">
        <f t="shared" ref="AA105" si="150">Y105-Z105</f>
        <v>-11934.464419146414</v>
      </c>
      <c r="AB105" s="12">
        <v>-0.79563096127642796</v>
      </c>
      <c r="AC105" s="141">
        <f t="shared" ref="AC105" si="151">ROUNDDOWN(AB105,0)</f>
        <v>0</v>
      </c>
      <c r="AD105" s="136"/>
    </row>
    <row r="106" spans="1:30" s="5" customFormat="1" x14ac:dyDescent="0.25">
      <c r="B106" s="145" t="s">
        <v>17</v>
      </c>
      <c r="C106" s="146">
        <f>SUM(C105)</f>
        <v>38</v>
      </c>
      <c r="D106" s="146">
        <f t="shared" ref="D106:I106" si="152">SUM(D105)</f>
        <v>25</v>
      </c>
      <c r="E106" s="146">
        <f t="shared" si="152"/>
        <v>36.75</v>
      </c>
      <c r="F106" s="146">
        <f t="shared" si="152"/>
        <v>7</v>
      </c>
      <c r="G106" s="146">
        <f t="shared" si="152"/>
        <v>10</v>
      </c>
      <c r="H106" s="146">
        <f t="shared" si="152"/>
        <v>6.5</v>
      </c>
      <c r="I106" s="147">
        <f t="shared" si="152"/>
        <v>43.25</v>
      </c>
      <c r="J106" s="146">
        <f t="shared" ref="J106:P106" si="153">SUM(J105)</f>
        <v>36</v>
      </c>
      <c r="K106" s="146">
        <f t="shared" si="153"/>
        <v>32</v>
      </c>
      <c r="L106" s="146">
        <f t="shared" si="153"/>
        <v>34.4</v>
      </c>
      <c r="M106" s="146">
        <f t="shared" si="153"/>
        <v>3</v>
      </c>
      <c r="N106" s="146">
        <f t="shared" si="153"/>
        <v>10</v>
      </c>
      <c r="O106" s="146">
        <f t="shared" si="153"/>
        <v>2.5</v>
      </c>
      <c r="P106" s="147">
        <f t="shared" si="153"/>
        <v>36.9</v>
      </c>
      <c r="Q106" s="148">
        <f t="shared" si="84"/>
        <v>35.575000000000003</v>
      </c>
      <c r="R106" s="149">
        <f>SUM(R105)</f>
        <v>78821.800303143784</v>
      </c>
      <c r="S106" s="149">
        <f>SUM(S105)</f>
        <v>35000</v>
      </c>
      <c r="T106" s="149">
        <f>SUM(T105)</f>
        <v>43821.800303143784</v>
      </c>
      <c r="U106" s="148">
        <v>3.5057440242514999</v>
      </c>
      <c r="V106" s="148">
        <f>SUM(V105)</f>
        <v>3</v>
      </c>
      <c r="W106" s="148">
        <f>ROUNDUP(U106,0)</f>
        <v>4</v>
      </c>
      <c r="X106" s="148">
        <f>SUM(X105)</f>
        <v>4.5</v>
      </c>
      <c r="Y106" s="149">
        <f>SUM(Y105)</f>
        <v>24065.535580853586</v>
      </c>
      <c r="Z106" s="149">
        <f>SUM(Z105)</f>
        <v>36000</v>
      </c>
      <c r="AA106" s="149">
        <f>SUM(AA105)</f>
        <v>-11934.464419146414</v>
      </c>
      <c r="AB106" s="148">
        <f>SUM(AB105)</f>
        <v>-0.79563096127642796</v>
      </c>
      <c r="AC106" s="150">
        <v>1.4</v>
      </c>
      <c r="AD106" s="148">
        <f>ROUND(AB106,0)</f>
        <v>-1</v>
      </c>
    </row>
    <row r="107" spans="1:30" x14ac:dyDescent="0.25">
      <c r="W107" s="135"/>
      <c r="X107" s="12"/>
      <c r="Y107" s="12"/>
      <c r="Z107" s="2"/>
      <c r="AA107" s="2"/>
      <c r="AB107" s="2"/>
      <c r="AD107" s="135"/>
    </row>
    <row r="108" spans="1:30" x14ac:dyDescent="0.25">
      <c r="J108" s="125"/>
      <c r="K108" s="125"/>
      <c r="L108" s="126">
        <f>SUM(L16,L22,L26,L44,L47,L52,L57,L62,L70,L73,L76,L79,L84,L88,L91,L94,L103,L106,)</f>
        <v>1201.5750000000003</v>
      </c>
      <c r="M108" s="126">
        <f>SUM(M16,M22,M26,M44,M47,M52,M57,M62,M70,M73,M76,M79,M84,M88,M91,M94,M103,M106,)</f>
        <v>587</v>
      </c>
      <c r="N108" s="126">
        <f>SUM(N16,N22,N26,N44,N47,N52,N57,N62,N70,N73,N76,N79,N84,N88,N91,N94,N103,N106,)</f>
        <v>306</v>
      </c>
      <c r="O108" s="126">
        <f>SUM(O16,O22,O26,O44,O47,O52,O57,O62,O70,O73,O76,O79,O84,O88,O91,O94,O103,O106,)</f>
        <v>579</v>
      </c>
      <c r="P108" s="10">
        <f>SUM(P16,P22,P26,P44,P47,P52,P57,P62,P70,P73,P76,P79,P84,P88,P91,P94,P103,P106,)</f>
        <v>1780.5749999999998</v>
      </c>
      <c r="Q108" s="14">
        <f>SUM(Q16,Q22,Q26,Q44,Q47,Q52,Q57,Q62,Q70,Q73,Q76,Q79,Q84,Q88,Q91,Q94,Q103,Q106)</f>
        <v>1195.3875</v>
      </c>
      <c r="R108" s="8">
        <f>SUM(R16,R22,R26,R44,R47,R52,R57,R62,R70,R73,R76,R79,R84,R88,R91,R94,R103,R106)</f>
        <v>2648562.0466584489</v>
      </c>
      <c r="S108" s="8">
        <f>SUM(S16,S22,S26,S44,S47,S52,S57,S62,S70,S73,S76,S79,S84,S88,S91,S94,S103,S106)</f>
        <v>1035000</v>
      </c>
      <c r="T108" s="8">
        <f>SUM(T16,T22,T26,T44,T47,T52,T57,T62,T70,T73,T76,T79,T84,T88,T91,T94,T103,T106)</f>
        <v>1598975.9867187531</v>
      </c>
      <c r="W108" s="135"/>
      <c r="X108" s="14">
        <f>SUM(X16,X22,X26,X44,X47,X52,X57,X62,X70,X73,X76,X79,X84,X88,X91,X94,X103,X106)</f>
        <v>568.77499999999998</v>
      </c>
      <c r="Y108" s="8">
        <f>SUM(Y16,Y22,Y26,Y44,Y47,Y52,Y57,Y62,Y70,Y73,Y76,Y79,Y84,Y88,Y91,Y94,Y103,Y106)</f>
        <v>2983457.9249263764</v>
      </c>
      <c r="Z108" s="8">
        <f>SUM(Z16,Z44,Z47,Z52,Z57,Z62,Z70,Z73,Z76,Z79,Z103,Z106)</f>
        <v>2028000</v>
      </c>
      <c r="AA108" s="8">
        <f>SUM(AA16,AA44,AA47,AA52,AA57,AA62,AA70,AA73,AA76,AA79,AA103,AA106)</f>
        <v>955457.92492637655</v>
      </c>
      <c r="AB108" s="2"/>
      <c r="AD108" s="135"/>
    </row>
    <row r="109" spans="1:30" x14ac:dyDescent="0.25">
      <c r="W109" s="135"/>
      <c r="X109" s="14"/>
      <c r="Y109" s="12"/>
      <c r="Z109" s="2"/>
      <c r="AA109" s="2"/>
      <c r="AB109" s="2"/>
      <c r="AD109" s="135"/>
    </row>
    <row r="110" spans="1:30" x14ac:dyDescent="0.25">
      <c r="W110" s="135"/>
      <c r="X110" s="1"/>
    </row>
    <row r="111" spans="1:30" x14ac:dyDescent="0.25">
      <c r="W111" s="135"/>
      <c r="X111" s="1"/>
    </row>
    <row r="112" spans="1:30" x14ac:dyDescent="0.25">
      <c r="A112" s="3" t="s">
        <v>81</v>
      </c>
      <c r="B112" s="59">
        <v>2930000</v>
      </c>
      <c r="W112" s="135"/>
      <c r="X112" s="1"/>
    </row>
    <row r="113" spans="1:24" s="3" customFormat="1" ht="12.6" thickBot="1" x14ac:dyDescent="0.3">
      <c r="A113" s="143" t="s">
        <v>82</v>
      </c>
      <c r="B113" s="75">
        <v>-285000</v>
      </c>
      <c r="C113" s="1"/>
      <c r="D113" s="1"/>
      <c r="E113" s="14"/>
      <c r="F113" s="1"/>
      <c r="G113" s="1"/>
      <c r="H113" s="83"/>
      <c r="I113" s="10"/>
      <c r="J113" s="1"/>
      <c r="K113" s="81"/>
      <c r="L113" s="78"/>
      <c r="M113" s="81"/>
      <c r="N113" s="81"/>
      <c r="O113" s="14"/>
      <c r="P113" s="10"/>
      <c r="Q113" s="12"/>
      <c r="R113" s="12"/>
      <c r="S113" s="2"/>
      <c r="T113" s="2"/>
      <c r="U113" s="12"/>
      <c r="V113" s="135"/>
      <c r="W113" s="135"/>
      <c r="X113" s="1"/>
    </row>
    <row r="114" spans="1:24" s="3" customFormat="1" x14ac:dyDescent="0.25">
      <c r="A114" s="3" t="s">
        <v>17</v>
      </c>
      <c r="B114" s="59">
        <f>SUM(B112:B113)</f>
        <v>2645000</v>
      </c>
      <c r="C114" s="1"/>
      <c r="D114" s="1"/>
      <c r="E114" s="14"/>
      <c r="F114" s="1"/>
      <c r="G114" s="1"/>
      <c r="H114" s="83"/>
      <c r="I114" s="10"/>
      <c r="J114" s="1"/>
      <c r="K114" s="81"/>
      <c r="L114" s="78"/>
      <c r="M114" s="81"/>
      <c r="N114" s="81"/>
      <c r="O114" s="14"/>
      <c r="P114" s="10"/>
      <c r="Q114" s="12"/>
      <c r="R114" s="12"/>
      <c r="S114" s="2"/>
      <c r="T114" s="2"/>
      <c r="U114" s="12"/>
      <c r="V114" s="135"/>
      <c r="W114" s="135"/>
      <c r="X114" s="1"/>
    </row>
    <row r="115" spans="1:24" s="3" customFormat="1" ht="12.6" thickBot="1" x14ac:dyDescent="0.3">
      <c r="A115" s="143" t="s">
        <v>83</v>
      </c>
      <c r="B115" s="124">
        <v>0.15</v>
      </c>
      <c r="C115" s="1"/>
      <c r="D115" s="1"/>
      <c r="E115" s="14"/>
      <c r="F115" s="1"/>
      <c r="G115" s="1"/>
      <c r="H115" s="83"/>
      <c r="I115" s="10"/>
      <c r="J115" s="1"/>
      <c r="K115" s="81"/>
      <c r="L115" s="78"/>
      <c r="M115" s="81"/>
      <c r="N115" s="81"/>
      <c r="O115" s="14"/>
      <c r="P115" s="10"/>
      <c r="Q115" s="12"/>
      <c r="R115" s="12"/>
      <c r="S115" s="2"/>
      <c r="T115" s="2"/>
      <c r="U115" s="12"/>
      <c r="V115" s="135"/>
      <c r="W115" s="135"/>
      <c r="X115" s="1"/>
    </row>
    <row r="116" spans="1:24" s="3" customFormat="1" x14ac:dyDescent="0.25">
      <c r="A116" s="5" t="s">
        <v>84</v>
      </c>
      <c r="B116" s="74">
        <f>B114*1.15</f>
        <v>3041749.9999999995</v>
      </c>
      <c r="C116" s="1"/>
      <c r="D116" s="1"/>
      <c r="E116" s="14"/>
      <c r="F116" s="1"/>
      <c r="G116" s="1"/>
      <c r="H116" s="83"/>
      <c r="I116" s="10"/>
      <c r="J116" s="1"/>
      <c r="K116" s="81"/>
      <c r="L116" s="78"/>
      <c r="M116" s="81"/>
      <c r="N116" s="81"/>
      <c r="O116" s="14"/>
      <c r="P116" s="10"/>
      <c r="Q116" s="12"/>
      <c r="R116" s="12"/>
      <c r="S116" s="2"/>
      <c r="T116" s="2"/>
      <c r="U116" s="12"/>
      <c r="V116" s="135"/>
      <c r="W116" s="135"/>
      <c r="X116" s="1"/>
    </row>
    <row r="117" spans="1:24" s="3" customFormat="1" ht="12.6" thickBot="1" x14ac:dyDescent="0.3">
      <c r="A117" s="143" t="s">
        <v>7</v>
      </c>
      <c r="B117" s="75">
        <f>Z108</f>
        <v>2028000</v>
      </c>
      <c r="C117" s="1"/>
      <c r="D117" s="1"/>
      <c r="E117" s="14"/>
      <c r="F117" s="1"/>
      <c r="G117" s="1"/>
      <c r="H117" s="83"/>
      <c r="I117" s="10"/>
      <c r="J117" s="1"/>
      <c r="K117" s="81"/>
      <c r="L117" s="78"/>
      <c r="M117" s="81"/>
      <c r="N117" s="81"/>
      <c r="O117" s="14"/>
      <c r="P117" s="10"/>
      <c r="Q117" s="12"/>
      <c r="R117" s="12"/>
      <c r="S117" s="2"/>
      <c r="T117" s="2"/>
      <c r="U117" s="12"/>
      <c r="V117" s="135"/>
      <c r="W117" s="135"/>
      <c r="X117" s="1"/>
    </row>
    <row r="118" spans="1:24" s="3" customFormat="1" x14ac:dyDescent="0.25">
      <c r="A118" s="5" t="s">
        <v>247</v>
      </c>
      <c r="B118" s="74">
        <f>B116-B117</f>
        <v>1013749.9999999995</v>
      </c>
      <c r="C118" s="1"/>
      <c r="D118" s="1"/>
      <c r="E118" s="14"/>
      <c r="F118" s="1"/>
      <c r="G118" s="1"/>
      <c r="H118" s="83"/>
      <c r="I118" s="10"/>
      <c r="J118" s="1"/>
      <c r="K118" s="81"/>
      <c r="L118" s="78"/>
      <c r="M118" s="81"/>
      <c r="N118" s="81"/>
      <c r="O118" s="14"/>
      <c r="P118" s="10"/>
      <c r="Q118" s="12"/>
      <c r="R118" s="12"/>
      <c r="S118" s="2"/>
      <c r="T118" s="2"/>
      <c r="U118" s="12"/>
      <c r="V118" s="135"/>
      <c r="W118" s="135"/>
      <c r="X118" s="1"/>
    </row>
    <row r="119" spans="1:24" s="3" customFormat="1" x14ac:dyDescent="0.25">
      <c r="A119" s="5"/>
      <c r="B119" s="59"/>
      <c r="C119" s="1"/>
      <c r="D119" s="1"/>
      <c r="E119" s="14"/>
      <c r="F119" s="1"/>
      <c r="G119" s="1"/>
      <c r="H119" s="83"/>
      <c r="I119" s="10"/>
      <c r="J119" s="1"/>
      <c r="K119" s="81"/>
      <c r="L119" s="78"/>
      <c r="M119" s="81"/>
      <c r="N119" s="81"/>
      <c r="O119" s="14"/>
      <c r="P119" s="10"/>
      <c r="Q119" s="12"/>
      <c r="R119" s="12"/>
      <c r="S119" s="2"/>
      <c r="T119" s="2"/>
      <c r="U119" s="12"/>
      <c r="V119" s="135"/>
      <c r="W119" s="135"/>
      <c r="X119" s="1"/>
    </row>
    <row r="120" spans="1:24" s="3" customFormat="1" x14ac:dyDescent="0.25">
      <c r="A120" s="5" t="s">
        <v>236</v>
      </c>
      <c r="B120" s="74">
        <f>B116/X108</f>
        <v>5347.8967957452414</v>
      </c>
      <c r="C120" s="1"/>
      <c r="D120" s="1"/>
      <c r="E120" s="14"/>
      <c r="F120" s="1"/>
      <c r="G120" s="1"/>
      <c r="H120" s="83"/>
      <c r="I120" s="10"/>
      <c r="J120" s="1"/>
      <c r="K120" s="81"/>
      <c r="L120" s="78"/>
      <c r="M120" s="81"/>
      <c r="N120" s="81"/>
      <c r="O120" s="14"/>
      <c r="P120" s="10"/>
      <c r="Q120" s="12"/>
      <c r="R120" s="12"/>
      <c r="S120" s="2"/>
      <c r="T120" s="2"/>
      <c r="U120" s="12"/>
      <c r="V120" s="135"/>
      <c r="W120" s="137"/>
      <c r="X120" s="2"/>
    </row>
    <row r="123" spans="1:24" s="3" customFormat="1" x14ac:dyDescent="0.25">
      <c r="A123" s="3" t="s">
        <v>244</v>
      </c>
      <c r="B123" s="59">
        <f>2100000-GETPIVOTDATA("Fiscal Amount",'MGS Renewals'!$A$3,"Program","PhD")</f>
        <v>1743500</v>
      </c>
      <c r="C123" s="1"/>
      <c r="D123" s="1"/>
      <c r="E123" s="14"/>
      <c r="F123" s="1"/>
      <c r="G123" s="1"/>
      <c r="H123" s="83"/>
      <c r="I123" s="10"/>
      <c r="J123" s="1"/>
      <c r="K123" s="81"/>
      <c r="L123" s="78"/>
      <c r="M123" s="81"/>
      <c r="N123" s="81"/>
      <c r="O123" s="14"/>
      <c r="P123" s="10"/>
      <c r="Q123" s="12"/>
      <c r="R123" s="12"/>
      <c r="S123" s="2"/>
      <c r="T123" s="2"/>
      <c r="U123" s="12"/>
      <c r="V123" s="135"/>
      <c r="W123" s="137"/>
      <c r="X123" s="2"/>
    </row>
    <row r="124" spans="1:24" s="3" customFormat="1" ht="12.6" thickBot="1" x14ac:dyDescent="0.3">
      <c r="A124" s="3" t="s">
        <v>245</v>
      </c>
      <c r="B124" s="75">
        <v>571518.6</v>
      </c>
      <c r="C124" s="1"/>
      <c r="D124" s="1"/>
      <c r="E124" s="14"/>
      <c r="F124" s="1"/>
      <c r="G124" s="1"/>
      <c r="H124" s="83"/>
      <c r="I124" s="10"/>
      <c r="J124" s="1"/>
      <c r="K124" s="81"/>
      <c r="L124" s="78"/>
      <c r="M124" s="81"/>
      <c r="N124" s="81"/>
      <c r="O124" s="14"/>
      <c r="P124" s="10"/>
      <c r="Q124" s="12"/>
      <c r="R124" s="12"/>
      <c r="S124" s="2"/>
      <c r="T124" s="2"/>
      <c r="U124" s="12"/>
      <c r="V124" s="135"/>
      <c r="W124" s="137"/>
      <c r="X124" s="2"/>
    </row>
    <row r="125" spans="1:24" s="3" customFormat="1" x14ac:dyDescent="0.25">
      <c r="A125" s="3" t="s">
        <v>17</v>
      </c>
      <c r="B125" s="59">
        <f>SUM(B123:B124)</f>
        <v>2315018.6</v>
      </c>
      <c r="C125" s="1"/>
      <c r="D125" s="1"/>
      <c r="E125" s="14"/>
      <c r="F125" s="1"/>
      <c r="G125" s="1"/>
      <c r="H125" s="83"/>
      <c r="I125" s="10"/>
      <c r="J125" s="1"/>
      <c r="K125" s="81"/>
      <c r="L125" s="78"/>
      <c r="M125" s="81"/>
      <c r="N125" s="81"/>
      <c r="O125" s="14"/>
      <c r="P125" s="10"/>
      <c r="Q125" s="12"/>
      <c r="R125" s="12"/>
      <c r="S125" s="2"/>
      <c r="T125" s="2"/>
      <c r="U125" s="12"/>
      <c r="V125" s="135"/>
      <c r="W125" s="137"/>
      <c r="X125" s="2"/>
    </row>
    <row r="126" spans="1:24" s="3" customFormat="1" ht="12.6" thickBot="1" x14ac:dyDescent="0.3">
      <c r="A126" s="3" t="s">
        <v>83</v>
      </c>
      <c r="B126" s="124">
        <v>0.15</v>
      </c>
      <c r="C126" s="1"/>
      <c r="D126" s="1"/>
      <c r="E126" s="14"/>
      <c r="F126" s="1"/>
      <c r="G126" s="1"/>
      <c r="H126" s="83"/>
      <c r="I126" s="10"/>
      <c r="J126" s="1"/>
      <c r="K126" s="81"/>
      <c r="L126" s="78"/>
      <c r="M126" s="81"/>
      <c r="N126" s="81"/>
      <c r="O126" s="14"/>
      <c r="P126" s="10"/>
      <c r="Q126" s="12"/>
      <c r="R126" s="12"/>
      <c r="S126" s="2"/>
      <c r="T126" s="2"/>
      <c r="U126" s="12"/>
      <c r="V126" s="135"/>
      <c r="W126" s="137"/>
      <c r="X126" s="2"/>
    </row>
    <row r="127" spans="1:24" s="3" customFormat="1" x14ac:dyDescent="0.25">
      <c r="A127" s="5" t="s">
        <v>248</v>
      </c>
      <c r="B127" s="74">
        <f>B125*1.15</f>
        <v>2662271.39</v>
      </c>
      <c r="C127" s="1"/>
      <c r="D127" s="1"/>
      <c r="E127" s="14"/>
      <c r="F127" s="1"/>
      <c r="G127" s="1"/>
      <c r="H127" s="83"/>
      <c r="I127" s="10"/>
      <c r="J127" s="1"/>
      <c r="K127" s="81"/>
      <c r="L127" s="78"/>
      <c r="M127" s="81"/>
      <c r="N127" s="81"/>
      <c r="O127" s="14"/>
      <c r="P127" s="10"/>
      <c r="Q127" s="12"/>
      <c r="R127" s="12"/>
      <c r="S127" s="2"/>
      <c r="T127" s="2"/>
      <c r="U127" s="12"/>
      <c r="V127" s="135"/>
      <c r="W127" s="137"/>
      <c r="X127" s="2"/>
    </row>
    <row r="128" spans="1:24" s="3" customFormat="1" x14ac:dyDescent="0.25">
      <c r="A128" s="5"/>
      <c r="B128" s="74"/>
      <c r="C128" s="1"/>
      <c r="D128" s="1"/>
      <c r="E128" s="14"/>
      <c r="F128" s="1"/>
      <c r="G128" s="1"/>
      <c r="H128" s="128"/>
      <c r="I128" s="10"/>
      <c r="J128" s="1"/>
      <c r="K128" s="81"/>
      <c r="L128" s="78"/>
      <c r="M128" s="81"/>
      <c r="N128" s="81"/>
      <c r="O128" s="14"/>
      <c r="P128" s="10"/>
      <c r="Q128" s="12"/>
      <c r="R128" s="12"/>
      <c r="S128" s="2"/>
      <c r="T128" s="2"/>
      <c r="U128" s="12"/>
      <c r="V128" s="135"/>
      <c r="W128" s="137"/>
      <c r="X128" s="2"/>
    </row>
    <row r="129" spans="1:2" s="3" customFormat="1" x14ac:dyDescent="0.25">
      <c r="A129" s="5" t="s">
        <v>246</v>
      </c>
      <c r="B129" s="74">
        <f>B127/L108</f>
        <v>2215.6514491396706</v>
      </c>
    </row>
  </sheetData>
  <mergeCells count="4">
    <mergeCell ref="X4:AD4"/>
    <mergeCell ref="C4:I4"/>
    <mergeCell ref="J4:P4"/>
    <mergeCell ref="Q4:W4"/>
  </mergeCells>
  <printOptions gridLines="1"/>
  <pageMargins left="0.25" right="0.25" top="0.75" bottom="0.75" header="0.3" footer="0.3"/>
  <pageSetup paperSize="17" scale="84" fitToHeight="0" orientation="landscape" r:id="rId1"/>
  <headerFooter>
    <oddFooter>&amp;CPage &amp;P of &amp;N</oddFooter>
  </headerFooter>
  <ignoredErrors>
    <ignoredError sqref="W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7"/>
  <sheetViews>
    <sheetView workbookViewId="0">
      <selection activeCell="A11" sqref="A11"/>
    </sheetView>
  </sheetViews>
  <sheetFormatPr defaultRowHeight="14.4" x14ac:dyDescent="0.3"/>
  <cols>
    <col min="1" max="1" width="35.33203125" style="118" bestFit="1" customWidth="1"/>
    <col min="2" max="2" width="15.5546875" style="17" bestFit="1" customWidth="1"/>
    <col min="3" max="3" width="11.109375" style="17" bestFit="1" customWidth="1"/>
    <col min="4" max="5" width="12.6640625" style="17" bestFit="1" customWidth="1"/>
    <col min="6" max="16384" width="8.88671875" style="118"/>
  </cols>
  <sheetData>
    <row r="3" spans="1:5" x14ac:dyDescent="0.3">
      <c r="A3" s="63" t="s">
        <v>243</v>
      </c>
      <c r="B3" s="84" t="s">
        <v>239</v>
      </c>
      <c r="E3"/>
    </row>
    <row r="4" spans="1:5" x14ac:dyDescent="0.3">
      <c r="A4" s="63" t="s">
        <v>200</v>
      </c>
      <c r="B4" s="17" t="s">
        <v>238</v>
      </c>
      <c r="C4" s="17" t="s">
        <v>237</v>
      </c>
      <c r="D4" s="17" t="s">
        <v>198</v>
      </c>
      <c r="E4"/>
    </row>
    <row r="5" spans="1:5" x14ac:dyDescent="0.3">
      <c r="A5" s="18" t="s">
        <v>10</v>
      </c>
      <c r="B5" s="17">
        <v>20000</v>
      </c>
      <c r="D5" s="17">
        <v>20000</v>
      </c>
      <c r="E5"/>
    </row>
    <row r="6" spans="1:5" x14ac:dyDescent="0.3">
      <c r="A6" s="18" t="s">
        <v>11</v>
      </c>
      <c r="B6" s="17">
        <v>15000</v>
      </c>
      <c r="D6" s="17">
        <v>15000</v>
      </c>
      <c r="E6"/>
    </row>
    <row r="7" spans="1:5" x14ac:dyDescent="0.3">
      <c r="A7" s="18" t="s">
        <v>51</v>
      </c>
      <c r="C7" s="17">
        <v>7500</v>
      </c>
      <c r="D7" s="17">
        <v>7500</v>
      </c>
      <c r="E7"/>
    </row>
    <row r="8" spans="1:5" x14ac:dyDescent="0.3">
      <c r="A8" s="18" t="s">
        <v>18</v>
      </c>
      <c r="B8" s="17">
        <v>40000</v>
      </c>
      <c r="D8" s="17">
        <v>40000</v>
      </c>
      <c r="E8"/>
    </row>
    <row r="9" spans="1:5" x14ac:dyDescent="0.3">
      <c r="A9" s="18" t="s">
        <v>71</v>
      </c>
      <c r="B9" s="17">
        <v>20000</v>
      </c>
      <c r="D9" s="17">
        <v>20000</v>
      </c>
      <c r="E9"/>
    </row>
    <row r="10" spans="1:5" x14ac:dyDescent="0.3">
      <c r="A10" s="18" t="s">
        <v>52</v>
      </c>
      <c r="B10" s="17">
        <v>10000</v>
      </c>
      <c r="C10" s="17">
        <v>18000</v>
      </c>
      <c r="D10" s="17">
        <v>28000</v>
      </c>
      <c r="E10"/>
    </row>
    <row r="11" spans="1:5" x14ac:dyDescent="0.3">
      <c r="A11" s="18" t="s">
        <v>12</v>
      </c>
      <c r="B11" s="17">
        <v>35000</v>
      </c>
      <c r="C11" s="17">
        <v>20500</v>
      </c>
      <c r="D11" s="17">
        <v>55500</v>
      </c>
      <c r="E11"/>
    </row>
    <row r="12" spans="1:5" x14ac:dyDescent="0.3">
      <c r="A12" s="18" t="s">
        <v>73</v>
      </c>
      <c r="B12" s="17">
        <v>20000</v>
      </c>
      <c r="D12" s="17">
        <v>20000</v>
      </c>
      <c r="E12"/>
    </row>
    <row r="13" spans="1:5" x14ac:dyDescent="0.3">
      <c r="A13" s="18" t="s">
        <v>19</v>
      </c>
      <c r="B13" s="17">
        <v>45000</v>
      </c>
      <c r="D13" s="17">
        <v>45000</v>
      </c>
      <c r="E13"/>
    </row>
    <row r="14" spans="1:5" x14ac:dyDescent="0.3">
      <c r="A14" s="18" t="s">
        <v>43</v>
      </c>
      <c r="B14" s="17">
        <v>25000</v>
      </c>
      <c r="C14" s="17">
        <v>18000</v>
      </c>
      <c r="D14" s="17">
        <v>43000</v>
      </c>
      <c r="E14"/>
    </row>
    <row r="15" spans="1:5" x14ac:dyDescent="0.3">
      <c r="A15" s="18" t="s">
        <v>27</v>
      </c>
      <c r="B15" s="17">
        <v>30000</v>
      </c>
      <c r="D15" s="17">
        <v>30000</v>
      </c>
      <c r="E15"/>
    </row>
    <row r="16" spans="1:5" x14ac:dyDescent="0.3">
      <c r="A16" s="18" t="s">
        <v>41</v>
      </c>
      <c r="B16" s="17">
        <v>20000</v>
      </c>
      <c r="D16" s="17">
        <v>20000</v>
      </c>
      <c r="E16"/>
    </row>
    <row r="17" spans="1:5" x14ac:dyDescent="0.3">
      <c r="A17" s="18" t="s">
        <v>44</v>
      </c>
      <c r="B17" s="17">
        <v>50000</v>
      </c>
      <c r="C17" s="17">
        <v>53000</v>
      </c>
      <c r="D17" s="17">
        <v>103000</v>
      </c>
      <c r="E17"/>
    </row>
    <row r="18" spans="1:5" x14ac:dyDescent="0.3">
      <c r="A18" s="18" t="s">
        <v>28</v>
      </c>
      <c r="B18" s="17">
        <v>15000</v>
      </c>
      <c r="C18" s="17">
        <v>20500</v>
      </c>
      <c r="D18" s="17">
        <v>35500</v>
      </c>
      <c r="E18"/>
    </row>
    <row r="19" spans="1:5" x14ac:dyDescent="0.3">
      <c r="A19" s="18" t="s">
        <v>46</v>
      </c>
      <c r="B19" s="17">
        <v>20000</v>
      </c>
      <c r="C19" s="17">
        <v>2500</v>
      </c>
      <c r="D19" s="17">
        <v>22500</v>
      </c>
      <c r="E19"/>
    </row>
    <row r="20" spans="1:5" x14ac:dyDescent="0.3">
      <c r="A20" s="18" t="s">
        <v>63</v>
      </c>
      <c r="B20" s="17">
        <v>5000</v>
      </c>
      <c r="D20" s="17">
        <v>5000</v>
      </c>
      <c r="E20"/>
    </row>
    <row r="21" spans="1:5" x14ac:dyDescent="0.3">
      <c r="A21" s="18" t="s">
        <v>14</v>
      </c>
      <c r="B21" s="17">
        <v>15000</v>
      </c>
      <c r="D21" s="17">
        <v>15000</v>
      </c>
      <c r="E21"/>
    </row>
    <row r="22" spans="1:5" x14ac:dyDescent="0.3">
      <c r="A22" s="18" t="s">
        <v>48</v>
      </c>
      <c r="B22" s="17">
        <v>15000</v>
      </c>
      <c r="D22" s="17">
        <v>15000</v>
      </c>
      <c r="E22"/>
    </row>
    <row r="23" spans="1:5" x14ac:dyDescent="0.3">
      <c r="A23" s="18" t="s">
        <v>183</v>
      </c>
      <c r="B23" s="17">
        <v>5000</v>
      </c>
      <c r="C23" s="17">
        <v>2500</v>
      </c>
      <c r="D23" s="17">
        <v>7500</v>
      </c>
      <c r="E23"/>
    </row>
    <row r="24" spans="1:5" x14ac:dyDescent="0.3">
      <c r="A24" s="18" t="s">
        <v>89</v>
      </c>
      <c r="B24" s="17">
        <v>30000</v>
      </c>
      <c r="C24" s="17">
        <v>5000</v>
      </c>
      <c r="D24" s="17">
        <v>35000</v>
      </c>
      <c r="E24"/>
    </row>
    <row r="25" spans="1:5" x14ac:dyDescent="0.3">
      <c r="A25" s="18" t="s">
        <v>20</v>
      </c>
      <c r="B25" s="17">
        <v>15000</v>
      </c>
      <c r="D25" s="17">
        <v>15000</v>
      </c>
      <c r="E25"/>
    </row>
    <row r="26" spans="1:5" x14ac:dyDescent="0.3">
      <c r="A26" s="18" t="s">
        <v>66</v>
      </c>
      <c r="B26" s="17">
        <v>30000</v>
      </c>
      <c r="D26" s="17">
        <v>30000</v>
      </c>
      <c r="E26"/>
    </row>
    <row r="27" spans="1:5" x14ac:dyDescent="0.3">
      <c r="A27" s="18" t="s">
        <v>21</v>
      </c>
      <c r="B27" s="17">
        <v>45000</v>
      </c>
      <c r="D27" s="17">
        <v>45000</v>
      </c>
      <c r="E27"/>
    </row>
    <row r="28" spans="1:5" x14ac:dyDescent="0.3">
      <c r="A28" s="18" t="s">
        <v>67</v>
      </c>
      <c r="B28" s="17">
        <v>15000</v>
      </c>
      <c r="D28" s="17">
        <v>15000</v>
      </c>
      <c r="E28"/>
    </row>
    <row r="29" spans="1:5" x14ac:dyDescent="0.3">
      <c r="A29" s="18" t="s">
        <v>32</v>
      </c>
      <c r="C29" s="17">
        <v>18000</v>
      </c>
      <c r="D29" s="17">
        <v>18000</v>
      </c>
      <c r="E29"/>
    </row>
    <row r="30" spans="1:5" x14ac:dyDescent="0.3">
      <c r="A30" s="18" t="s">
        <v>231</v>
      </c>
      <c r="B30" s="17">
        <v>40000</v>
      </c>
      <c r="D30" s="17">
        <v>40000</v>
      </c>
      <c r="E30"/>
    </row>
    <row r="31" spans="1:5" x14ac:dyDescent="0.3">
      <c r="A31" s="18" t="s">
        <v>75</v>
      </c>
      <c r="B31" s="17">
        <v>50000</v>
      </c>
      <c r="C31" s="17">
        <v>54000</v>
      </c>
      <c r="D31" s="17">
        <v>104000</v>
      </c>
      <c r="E31"/>
    </row>
    <row r="32" spans="1:5" x14ac:dyDescent="0.3">
      <c r="A32" s="18" t="s">
        <v>91</v>
      </c>
      <c r="B32" s="17">
        <v>50000</v>
      </c>
      <c r="C32" s="17">
        <v>24000</v>
      </c>
      <c r="D32" s="17">
        <v>74000</v>
      </c>
      <c r="E32"/>
    </row>
    <row r="33" spans="1:5" x14ac:dyDescent="0.3">
      <c r="A33" s="18" t="s">
        <v>58</v>
      </c>
      <c r="B33" s="17">
        <v>5000</v>
      </c>
      <c r="D33" s="17">
        <v>5000</v>
      </c>
      <c r="E33"/>
    </row>
    <row r="34" spans="1:5" x14ac:dyDescent="0.3">
      <c r="A34" s="18" t="s">
        <v>69</v>
      </c>
      <c r="B34" s="17">
        <v>35000</v>
      </c>
      <c r="D34" s="17">
        <v>35000</v>
      </c>
      <c r="E34"/>
    </row>
    <row r="35" spans="1:5" x14ac:dyDescent="0.3">
      <c r="A35" s="18" t="s">
        <v>49</v>
      </c>
      <c r="B35" s="17">
        <v>40000</v>
      </c>
      <c r="D35" s="17">
        <v>40000</v>
      </c>
      <c r="E35"/>
    </row>
    <row r="36" spans="1:5" x14ac:dyDescent="0.3">
      <c r="A36" s="18" t="s">
        <v>250</v>
      </c>
      <c r="B36" s="17">
        <v>30000</v>
      </c>
      <c r="D36" s="17">
        <v>30000</v>
      </c>
      <c r="E36"/>
    </row>
    <row r="37" spans="1:5" x14ac:dyDescent="0.3">
      <c r="A37" s="18" t="s">
        <v>92</v>
      </c>
      <c r="B37" s="17">
        <v>15000</v>
      </c>
      <c r="C37" s="17">
        <v>24000</v>
      </c>
      <c r="D37" s="17">
        <v>39000</v>
      </c>
      <c r="E37"/>
    </row>
    <row r="38" spans="1:5" x14ac:dyDescent="0.3">
      <c r="A38" s="18" t="s">
        <v>62</v>
      </c>
      <c r="B38" s="17">
        <v>40000</v>
      </c>
      <c r="D38" s="17">
        <v>40000</v>
      </c>
      <c r="E38"/>
    </row>
    <row r="39" spans="1:5" x14ac:dyDescent="0.3">
      <c r="A39" s="18" t="s">
        <v>77</v>
      </c>
      <c r="B39" s="17">
        <v>10000</v>
      </c>
      <c r="C39" s="17">
        <v>18000</v>
      </c>
      <c r="D39" s="17">
        <v>28000</v>
      </c>
      <c r="E39"/>
    </row>
    <row r="40" spans="1:5" x14ac:dyDescent="0.3">
      <c r="A40" s="18" t="s">
        <v>15</v>
      </c>
      <c r="B40" s="17">
        <v>15000</v>
      </c>
      <c r="C40" s="17">
        <v>18000</v>
      </c>
      <c r="D40" s="17">
        <v>33000</v>
      </c>
      <c r="E40"/>
    </row>
    <row r="41" spans="1:5" x14ac:dyDescent="0.3">
      <c r="A41" s="18" t="s">
        <v>35</v>
      </c>
      <c r="B41" s="17">
        <v>20000</v>
      </c>
      <c r="D41" s="17">
        <v>20000</v>
      </c>
      <c r="E41"/>
    </row>
    <row r="42" spans="1:5" x14ac:dyDescent="0.3">
      <c r="A42" s="18" t="s">
        <v>36</v>
      </c>
      <c r="B42" s="17">
        <v>40000</v>
      </c>
      <c r="C42" s="17">
        <v>36000</v>
      </c>
      <c r="D42" s="17">
        <v>76000</v>
      </c>
      <c r="E42"/>
    </row>
    <row r="43" spans="1:5" x14ac:dyDescent="0.3">
      <c r="A43" s="18" t="s">
        <v>80</v>
      </c>
      <c r="B43" s="17">
        <v>35000</v>
      </c>
      <c r="D43" s="17">
        <v>35000</v>
      </c>
      <c r="E43"/>
    </row>
    <row r="44" spans="1:5" x14ac:dyDescent="0.3">
      <c r="A44" s="18" t="s">
        <v>37</v>
      </c>
      <c r="B44" s="17">
        <v>85000</v>
      </c>
      <c r="D44" s="17">
        <v>85000</v>
      </c>
      <c r="E44"/>
    </row>
    <row r="45" spans="1:5" x14ac:dyDescent="0.3">
      <c r="A45" s="18" t="s">
        <v>16</v>
      </c>
      <c r="B45" s="17">
        <v>15000</v>
      </c>
      <c r="C45" s="17">
        <v>5000</v>
      </c>
      <c r="D45" s="17">
        <v>20000</v>
      </c>
      <c r="E45"/>
    </row>
    <row r="46" spans="1:5" x14ac:dyDescent="0.3">
      <c r="A46" s="18" t="s">
        <v>78</v>
      </c>
      <c r="B46" s="17">
        <v>5000</v>
      </c>
      <c r="C46" s="17">
        <v>12000</v>
      </c>
      <c r="D46" s="17">
        <v>17000</v>
      </c>
      <c r="E46"/>
    </row>
    <row r="47" spans="1:5" x14ac:dyDescent="0.3">
      <c r="A47" s="18" t="s">
        <v>198</v>
      </c>
      <c r="B47" s="17">
        <v>1070000</v>
      </c>
      <c r="C47" s="17">
        <v>356500</v>
      </c>
      <c r="D47" s="17">
        <v>1426500</v>
      </c>
      <c r="E47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2"/>
  <sheetViews>
    <sheetView workbookViewId="0">
      <selection activeCell="B58" sqref="B58"/>
    </sheetView>
  </sheetViews>
  <sheetFormatPr defaultRowHeight="14.4" x14ac:dyDescent="0.3"/>
  <cols>
    <col min="1" max="1" width="35.33203125" style="16" customWidth="1"/>
    <col min="2" max="2" width="15.5546875" style="17" customWidth="1"/>
    <col min="3" max="3" width="12.6640625" style="16" customWidth="1"/>
    <col min="4" max="5" width="12.6640625" style="16" bestFit="1" customWidth="1"/>
    <col min="6" max="16384" width="8.88671875" style="16"/>
  </cols>
  <sheetData>
    <row r="2" spans="1:5" s="82" customFormat="1" x14ac:dyDescent="0.3">
      <c r="A2" s="82">
        <v>1</v>
      </c>
      <c r="B2" s="82">
        <v>2</v>
      </c>
      <c r="C2" s="82">
        <v>3</v>
      </c>
      <c r="D2" s="82">
        <v>4</v>
      </c>
      <c r="E2" s="82">
        <v>5</v>
      </c>
    </row>
    <row r="3" spans="1:5" x14ac:dyDescent="0.3">
      <c r="A3" s="63" t="s">
        <v>199</v>
      </c>
      <c r="B3" s="63" t="s">
        <v>239</v>
      </c>
      <c r="C3"/>
      <c r="D3"/>
      <c r="E3"/>
    </row>
    <row r="4" spans="1:5" x14ac:dyDescent="0.3">
      <c r="A4" s="63" t="s">
        <v>200</v>
      </c>
      <c r="B4" s="118" t="s">
        <v>238</v>
      </c>
      <c r="C4" s="118" t="s">
        <v>237</v>
      </c>
      <c r="D4" s="118" t="s">
        <v>94</v>
      </c>
      <c r="E4" s="118" t="s">
        <v>198</v>
      </c>
    </row>
    <row r="5" spans="1:5" x14ac:dyDescent="0.3">
      <c r="A5" s="18" t="s">
        <v>11</v>
      </c>
      <c r="C5" s="17">
        <v>102000</v>
      </c>
      <c r="D5" s="17"/>
      <c r="E5" s="17">
        <v>102000</v>
      </c>
    </row>
    <row r="6" spans="1:5" x14ac:dyDescent="0.3">
      <c r="A6" s="18" t="s">
        <v>25</v>
      </c>
      <c r="C6" s="17">
        <v>126000</v>
      </c>
      <c r="D6" s="17"/>
      <c r="E6" s="17">
        <v>126000</v>
      </c>
    </row>
    <row r="7" spans="1:5" x14ac:dyDescent="0.3">
      <c r="A7" s="18" t="s">
        <v>51</v>
      </c>
      <c r="C7" s="17">
        <v>54000</v>
      </c>
      <c r="D7" s="17"/>
      <c r="E7" s="17">
        <v>54000</v>
      </c>
    </row>
    <row r="8" spans="1:5" x14ac:dyDescent="0.3">
      <c r="A8" s="18" t="s">
        <v>18</v>
      </c>
      <c r="B8" s="17">
        <v>23333.35</v>
      </c>
      <c r="C8" s="17"/>
      <c r="D8" s="17"/>
      <c r="E8" s="17">
        <v>23333.35</v>
      </c>
    </row>
    <row r="9" spans="1:5" x14ac:dyDescent="0.3">
      <c r="A9" s="18" t="s">
        <v>71</v>
      </c>
      <c r="C9" s="17">
        <v>18000</v>
      </c>
      <c r="D9" s="17"/>
      <c r="E9" s="17">
        <v>18000</v>
      </c>
    </row>
    <row r="10" spans="1:5" x14ac:dyDescent="0.3">
      <c r="A10" s="18" t="s">
        <v>52</v>
      </c>
      <c r="C10" s="17">
        <v>36000</v>
      </c>
      <c r="D10" s="17"/>
      <c r="E10" s="17">
        <v>36000</v>
      </c>
    </row>
    <row r="11" spans="1:5" x14ac:dyDescent="0.3">
      <c r="A11" s="18" t="s">
        <v>12</v>
      </c>
      <c r="B11" s="17">
        <v>4666.67</v>
      </c>
      <c r="C11" s="17">
        <v>36000</v>
      </c>
      <c r="D11" s="17"/>
      <c r="E11" s="17">
        <v>40666.67</v>
      </c>
    </row>
    <row r="12" spans="1:5" x14ac:dyDescent="0.3">
      <c r="A12" s="18" t="s">
        <v>73</v>
      </c>
      <c r="C12" s="17">
        <v>90000</v>
      </c>
      <c r="D12" s="17"/>
      <c r="E12" s="17">
        <v>90000</v>
      </c>
    </row>
    <row r="13" spans="1:5" x14ac:dyDescent="0.3">
      <c r="A13" s="18" t="s">
        <v>19</v>
      </c>
      <c r="B13" s="17">
        <v>9333.34</v>
      </c>
      <c r="C13" s="17"/>
      <c r="D13" s="17"/>
      <c r="E13" s="17">
        <v>9333.34</v>
      </c>
    </row>
    <row r="14" spans="1:5" x14ac:dyDescent="0.3">
      <c r="A14" s="18" t="s">
        <v>43</v>
      </c>
      <c r="C14" s="17">
        <v>96000</v>
      </c>
      <c r="D14" s="17"/>
      <c r="E14" s="17">
        <v>96000</v>
      </c>
    </row>
    <row r="15" spans="1:5" x14ac:dyDescent="0.3">
      <c r="A15" s="18" t="s">
        <v>96</v>
      </c>
      <c r="C15" s="17"/>
      <c r="D15" s="17"/>
      <c r="E15" s="17"/>
    </row>
    <row r="16" spans="1:5" x14ac:dyDescent="0.3">
      <c r="A16" s="18" t="s">
        <v>74</v>
      </c>
      <c r="B16" s="17">
        <v>4666.67</v>
      </c>
      <c r="C16" s="17">
        <v>48000</v>
      </c>
      <c r="D16" s="17"/>
      <c r="E16" s="17">
        <v>52666.67</v>
      </c>
    </row>
    <row r="17" spans="1:5" x14ac:dyDescent="0.3">
      <c r="A17" s="18" t="s">
        <v>39</v>
      </c>
      <c r="C17" s="17">
        <v>84000</v>
      </c>
      <c r="D17" s="17"/>
      <c r="E17" s="17">
        <v>84000</v>
      </c>
    </row>
    <row r="18" spans="1:5" x14ac:dyDescent="0.3">
      <c r="A18" s="18" t="s">
        <v>13</v>
      </c>
      <c r="C18" s="17">
        <v>36000</v>
      </c>
      <c r="D18" s="17"/>
      <c r="E18" s="17">
        <v>36000</v>
      </c>
    </row>
    <row r="19" spans="1:5" x14ac:dyDescent="0.3">
      <c r="A19" s="18" t="s">
        <v>90</v>
      </c>
      <c r="C19" s="17">
        <v>18000</v>
      </c>
      <c r="D19" s="17"/>
      <c r="E19" s="17">
        <v>18000</v>
      </c>
    </row>
    <row r="20" spans="1:5" x14ac:dyDescent="0.3">
      <c r="A20" s="18" t="s">
        <v>89</v>
      </c>
      <c r="C20" s="17">
        <v>36000</v>
      </c>
      <c r="D20" s="17"/>
      <c r="E20" s="17">
        <v>36000</v>
      </c>
    </row>
    <row r="21" spans="1:5" x14ac:dyDescent="0.3">
      <c r="A21" s="18" t="s">
        <v>93</v>
      </c>
      <c r="C21" s="17">
        <v>18000</v>
      </c>
      <c r="D21" s="17"/>
      <c r="E21" s="17">
        <v>18000</v>
      </c>
    </row>
    <row r="22" spans="1:5" x14ac:dyDescent="0.3">
      <c r="A22" s="18" t="s">
        <v>20</v>
      </c>
      <c r="B22" s="17">
        <v>9333.34</v>
      </c>
      <c r="C22" s="17"/>
      <c r="D22" s="17"/>
      <c r="E22" s="17">
        <v>9333.34</v>
      </c>
    </row>
    <row r="23" spans="1:5" x14ac:dyDescent="0.3">
      <c r="A23" s="18" t="s">
        <v>67</v>
      </c>
      <c r="B23" s="17">
        <v>4666.67</v>
      </c>
      <c r="C23" s="17"/>
      <c r="D23" s="17"/>
      <c r="E23" s="17">
        <v>4666.67</v>
      </c>
    </row>
    <row r="24" spans="1:5" x14ac:dyDescent="0.3">
      <c r="A24" s="18" t="s">
        <v>75</v>
      </c>
      <c r="C24" s="17">
        <v>42000</v>
      </c>
      <c r="D24" s="17"/>
      <c r="E24" s="17">
        <v>42000</v>
      </c>
    </row>
    <row r="25" spans="1:5" x14ac:dyDescent="0.3">
      <c r="A25" s="18" t="s">
        <v>91</v>
      </c>
      <c r="C25" s="17">
        <v>108000</v>
      </c>
      <c r="D25" s="17"/>
      <c r="E25" s="17">
        <v>108000</v>
      </c>
    </row>
    <row r="26" spans="1:5" x14ac:dyDescent="0.3">
      <c r="A26" s="18" t="s">
        <v>58</v>
      </c>
      <c r="B26" s="17">
        <v>4666.67</v>
      </c>
      <c r="C26" s="17"/>
      <c r="D26" s="17"/>
      <c r="E26" s="17">
        <v>4666.67</v>
      </c>
    </row>
    <row r="27" spans="1:5" x14ac:dyDescent="0.3">
      <c r="A27" s="18" t="s">
        <v>76</v>
      </c>
      <c r="C27" s="17">
        <v>60000</v>
      </c>
      <c r="D27" s="17"/>
      <c r="E27" s="17">
        <v>60000</v>
      </c>
    </row>
    <row r="28" spans="1:5" x14ac:dyDescent="0.3">
      <c r="A28" s="18" t="s">
        <v>33</v>
      </c>
      <c r="C28" s="17">
        <v>18000</v>
      </c>
      <c r="D28" s="17"/>
      <c r="E28" s="17">
        <v>18000</v>
      </c>
    </row>
    <row r="29" spans="1:5" x14ac:dyDescent="0.3">
      <c r="A29" s="18" t="s">
        <v>55</v>
      </c>
      <c r="B29" s="17">
        <v>18666.68</v>
      </c>
      <c r="C29" s="17"/>
      <c r="D29" s="17"/>
      <c r="E29" s="17">
        <v>18666.68</v>
      </c>
    </row>
    <row r="30" spans="1:5" x14ac:dyDescent="0.3">
      <c r="A30" s="18" t="s">
        <v>54</v>
      </c>
      <c r="C30" s="17">
        <v>42000</v>
      </c>
      <c r="D30" s="17"/>
      <c r="E30" s="17">
        <v>42000</v>
      </c>
    </row>
    <row r="31" spans="1:5" x14ac:dyDescent="0.3">
      <c r="A31" s="18" t="s">
        <v>97</v>
      </c>
      <c r="C31" s="17"/>
      <c r="D31" s="17"/>
      <c r="E31" s="17"/>
    </row>
    <row r="32" spans="1:5" x14ac:dyDescent="0.3">
      <c r="A32" s="18" t="s">
        <v>92</v>
      </c>
      <c r="C32" s="17">
        <v>84000</v>
      </c>
      <c r="D32" s="17"/>
      <c r="E32" s="17">
        <v>84000</v>
      </c>
    </row>
    <row r="33" spans="1:5" x14ac:dyDescent="0.3">
      <c r="A33" s="18" t="s">
        <v>56</v>
      </c>
      <c r="C33" s="17">
        <v>36000</v>
      </c>
      <c r="D33" s="17"/>
      <c r="E33" s="17">
        <v>36000</v>
      </c>
    </row>
    <row r="34" spans="1:5" x14ac:dyDescent="0.3">
      <c r="A34" s="18" t="s">
        <v>62</v>
      </c>
      <c r="B34" s="17">
        <v>4666.67</v>
      </c>
      <c r="C34" s="17"/>
      <c r="D34" s="17"/>
      <c r="E34" s="17">
        <v>4666.67</v>
      </c>
    </row>
    <row r="35" spans="1:5" x14ac:dyDescent="0.3">
      <c r="A35" s="18" t="s">
        <v>15</v>
      </c>
      <c r="C35" s="17">
        <v>36000</v>
      </c>
      <c r="D35" s="17"/>
      <c r="E35" s="17">
        <v>36000</v>
      </c>
    </row>
    <row r="36" spans="1:5" x14ac:dyDescent="0.3">
      <c r="A36" s="18" t="s">
        <v>80</v>
      </c>
      <c r="B36" s="17">
        <v>4666.67</v>
      </c>
      <c r="C36" s="17">
        <v>36000</v>
      </c>
      <c r="D36" s="17"/>
      <c r="E36" s="17">
        <v>40666.67</v>
      </c>
    </row>
    <row r="37" spans="1:5" x14ac:dyDescent="0.3">
      <c r="A37" s="18" t="s">
        <v>37</v>
      </c>
      <c r="C37" s="17">
        <v>36000</v>
      </c>
      <c r="D37" s="17"/>
      <c r="E37" s="17">
        <v>36000</v>
      </c>
    </row>
    <row r="38" spans="1:5" x14ac:dyDescent="0.3">
      <c r="A38" s="18" t="s">
        <v>16</v>
      </c>
      <c r="B38" s="17">
        <v>4666.67</v>
      </c>
      <c r="C38" s="17">
        <v>60000</v>
      </c>
      <c r="D38" s="17"/>
      <c r="E38" s="17">
        <v>64666.67</v>
      </c>
    </row>
    <row r="39" spans="1:5" x14ac:dyDescent="0.3">
      <c r="A39" s="18" t="s">
        <v>78</v>
      </c>
      <c r="C39" s="17">
        <v>36000</v>
      </c>
      <c r="D39" s="17"/>
      <c r="E39" s="17">
        <v>36000</v>
      </c>
    </row>
    <row r="40" spans="1:5" x14ac:dyDescent="0.3">
      <c r="A40" s="18" t="s">
        <v>64</v>
      </c>
      <c r="B40" s="17">
        <v>4666.67</v>
      </c>
      <c r="C40" s="17"/>
      <c r="D40" s="17"/>
      <c r="E40" s="17">
        <v>4666.67</v>
      </c>
    </row>
    <row r="41" spans="1:5" x14ac:dyDescent="0.3">
      <c r="A41" s="18" t="s">
        <v>94</v>
      </c>
      <c r="C41" s="17"/>
      <c r="D41" s="17">
        <v>2278000.129999998</v>
      </c>
      <c r="E41" s="17">
        <v>2278000.129999998</v>
      </c>
    </row>
    <row r="42" spans="1:5" x14ac:dyDescent="0.3">
      <c r="A42" s="18" t="s">
        <v>44</v>
      </c>
      <c r="C42" s="17">
        <v>192000</v>
      </c>
      <c r="D42" s="17"/>
      <c r="E42" s="17">
        <v>192000</v>
      </c>
    </row>
    <row r="43" spans="1:5" x14ac:dyDescent="0.3">
      <c r="A43" s="18" t="s">
        <v>231</v>
      </c>
      <c r="B43" s="17">
        <v>9333.34</v>
      </c>
      <c r="C43" s="17">
        <v>36000</v>
      </c>
      <c r="D43" s="17"/>
      <c r="E43" s="17">
        <v>45333.34</v>
      </c>
    </row>
    <row r="44" spans="1:5" x14ac:dyDescent="0.3">
      <c r="A44" s="18" t="s">
        <v>27</v>
      </c>
      <c r="C44" s="17">
        <v>36000</v>
      </c>
      <c r="D44" s="17"/>
      <c r="E44" s="17">
        <v>36000</v>
      </c>
    </row>
    <row r="45" spans="1:5" x14ac:dyDescent="0.3">
      <c r="A45" s="18" t="s">
        <v>28</v>
      </c>
      <c r="C45" s="17">
        <v>42000</v>
      </c>
      <c r="D45" s="17"/>
      <c r="E45" s="17">
        <v>42000</v>
      </c>
    </row>
    <row r="46" spans="1:5" x14ac:dyDescent="0.3">
      <c r="A46" s="18" t="s">
        <v>32</v>
      </c>
      <c r="C46" s="17">
        <v>24000</v>
      </c>
      <c r="D46" s="17"/>
      <c r="E46" s="17">
        <v>24000</v>
      </c>
    </row>
    <row r="47" spans="1:5" x14ac:dyDescent="0.3">
      <c r="A47" s="18" t="s">
        <v>36</v>
      </c>
      <c r="B47" s="17">
        <v>9333.34</v>
      </c>
      <c r="C47" s="17">
        <v>54000</v>
      </c>
      <c r="D47" s="17"/>
      <c r="E47" s="17">
        <v>63333.34</v>
      </c>
    </row>
    <row r="48" spans="1:5" x14ac:dyDescent="0.3">
      <c r="A48" s="18" t="s">
        <v>48</v>
      </c>
      <c r="C48" s="17">
        <v>54000</v>
      </c>
      <c r="D48" s="17"/>
      <c r="E48" s="17">
        <v>54000</v>
      </c>
    </row>
    <row r="49" spans="1:5" x14ac:dyDescent="0.3">
      <c r="A49" s="18" t="s">
        <v>77</v>
      </c>
      <c r="C49" s="17">
        <v>180000</v>
      </c>
      <c r="D49" s="17"/>
      <c r="E49" s="17">
        <v>180000</v>
      </c>
    </row>
    <row r="50" spans="1:5" x14ac:dyDescent="0.3">
      <c r="A50" s="18" t="s">
        <v>249</v>
      </c>
      <c r="C50" s="17"/>
      <c r="D50" s="17"/>
      <c r="E50" s="17"/>
    </row>
    <row r="51" spans="1:5" x14ac:dyDescent="0.3">
      <c r="A51" s="18" t="s">
        <v>49</v>
      </c>
      <c r="B51" s="17">
        <v>9333.34</v>
      </c>
      <c r="C51" s="17">
        <v>36000</v>
      </c>
      <c r="D51" s="17"/>
      <c r="E51" s="17">
        <v>45333.34</v>
      </c>
    </row>
    <row r="52" spans="1:5" x14ac:dyDescent="0.3">
      <c r="A52" s="18" t="s">
        <v>138</v>
      </c>
      <c r="C52" s="17">
        <v>18000</v>
      </c>
      <c r="D52" s="17"/>
      <c r="E52" s="17">
        <v>18000</v>
      </c>
    </row>
    <row r="53" spans="1:5" x14ac:dyDescent="0.3">
      <c r="A53" s="18" t="s">
        <v>46</v>
      </c>
      <c r="B53" s="17">
        <v>9333.34</v>
      </c>
      <c r="C53" s="17">
        <v>18000</v>
      </c>
      <c r="D53" s="17"/>
      <c r="E53" s="17">
        <v>27333.34</v>
      </c>
    </row>
    <row r="54" spans="1:5" x14ac:dyDescent="0.3">
      <c r="A54" s="18" t="s">
        <v>137</v>
      </c>
      <c r="C54" s="17"/>
      <c r="D54" s="17"/>
      <c r="E54" s="17"/>
    </row>
    <row r="55" spans="1:5" x14ac:dyDescent="0.3">
      <c r="A55" s="18" t="s">
        <v>66</v>
      </c>
      <c r="B55" s="17">
        <v>9333.34</v>
      </c>
      <c r="C55" s="17"/>
      <c r="D55" s="17"/>
      <c r="E55" s="17">
        <v>9333.34</v>
      </c>
    </row>
    <row r="56" spans="1:5" x14ac:dyDescent="0.3">
      <c r="A56" s="18" t="s">
        <v>250</v>
      </c>
      <c r="B56" s="17">
        <v>18666.669999999998</v>
      </c>
      <c r="C56" s="17"/>
      <c r="D56" s="17"/>
      <c r="E56" s="17">
        <v>18666.669999999998</v>
      </c>
    </row>
    <row r="57" spans="1:5" x14ac:dyDescent="0.3">
      <c r="A57" s="18" t="s">
        <v>136</v>
      </c>
      <c r="C57" s="17"/>
      <c r="D57" s="17"/>
      <c r="E57" s="17"/>
    </row>
    <row r="58" spans="1:5" x14ac:dyDescent="0.3">
      <c r="A58" s="18" t="s">
        <v>21</v>
      </c>
      <c r="B58" s="17">
        <v>14000.01</v>
      </c>
      <c r="C58" s="17"/>
      <c r="D58" s="17"/>
      <c r="E58" s="17">
        <v>14000.01</v>
      </c>
    </row>
    <row r="59" spans="1:5" x14ac:dyDescent="0.3">
      <c r="A59" s="18" t="s">
        <v>184</v>
      </c>
      <c r="B59" s="17">
        <v>14000.01</v>
      </c>
      <c r="C59" s="17"/>
      <c r="D59" s="17"/>
      <c r="E59" s="17">
        <v>14000.01</v>
      </c>
    </row>
    <row r="60" spans="1:5" x14ac:dyDescent="0.3">
      <c r="A60" s="18" t="s">
        <v>183</v>
      </c>
      <c r="B60" s="17">
        <v>4666.67</v>
      </c>
      <c r="C60" s="17"/>
      <c r="D60" s="17"/>
      <c r="E60" s="17">
        <v>4666.67</v>
      </c>
    </row>
    <row r="61" spans="1:5" x14ac:dyDescent="0.3">
      <c r="A61" s="18" t="s">
        <v>139</v>
      </c>
      <c r="C61" s="17"/>
      <c r="D61" s="17"/>
      <c r="E61" s="17"/>
    </row>
    <row r="62" spans="1:5" x14ac:dyDescent="0.3">
      <c r="A62" s="18" t="s">
        <v>198</v>
      </c>
      <c r="B62" s="17">
        <v>196000.12999999998</v>
      </c>
      <c r="C62" s="17">
        <v>2082000</v>
      </c>
      <c r="D62" s="17">
        <v>2278000.129999998</v>
      </c>
      <c r="E62" s="17">
        <v>4556000.2599999961</v>
      </c>
    </row>
    <row r="63" spans="1:5" x14ac:dyDescent="0.3">
      <c r="A63"/>
      <c r="B63"/>
      <c r="C63"/>
      <c r="D63"/>
      <c r="E63"/>
    </row>
    <row r="64" spans="1:5" x14ac:dyDescent="0.3">
      <c r="A64"/>
      <c r="B64"/>
    </row>
    <row r="65" spans="1:2" x14ac:dyDescent="0.3">
      <c r="A65"/>
      <c r="B65"/>
    </row>
    <row r="66" spans="1:2" x14ac:dyDescent="0.3">
      <c r="A66"/>
      <c r="B66"/>
    </row>
    <row r="67" spans="1:2" x14ac:dyDescent="0.3">
      <c r="A67"/>
      <c r="B67"/>
    </row>
    <row r="68" spans="1:2" x14ac:dyDescent="0.3">
      <c r="A68"/>
      <c r="B68"/>
    </row>
    <row r="69" spans="1:2" x14ac:dyDescent="0.3">
      <c r="A69"/>
      <c r="B69"/>
    </row>
    <row r="70" spans="1:2" x14ac:dyDescent="0.3">
      <c r="A70"/>
      <c r="B70"/>
    </row>
    <row r="71" spans="1:2" x14ac:dyDescent="0.3">
      <c r="A71"/>
      <c r="B71"/>
    </row>
    <row r="72" spans="1:2" x14ac:dyDescent="0.3">
      <c r="A72"/>
      <c r="B72"/>
    </row>
    <row r="73" spans="1:2" x14ac:dyDescent="0.3">
      <c r="A73"/>
      <c r="B73"/>
    </row>
    <row r="74" spans="1:2" x14ac:dyDescent="0.3">
      <c r="A74"/>
      <c r="B74"/>
    </row>
    <row r="75" spans="1:2" x14ac:dyDescent="0.3">
      <c r="A75"/>
      <c r="B75"/>
    </row>
    <row r="76" spans="1:2" x14ac:dyDescent="0.3">
      <c r="A76"/>
      <c r="B76"/>
    </row>
    <row r="77" spans="1:2" x14ac:dyDescent="0.3">
      <c r="A77"/>
      <c r="B77"/>
    </row>
    <row r="78" spans="1:2" x14ac:dyDescent="0.3">
      <c r="A78"/>
      <c r="B78"/>
    </row>
    <row r="79" spans="1:2" x14ac:dyDescent="0.3">
      <c r="A79"/>
      <c r="B79"/>
    </row>
    <row r="80" spans="1:2" x14ac:dyDescent="0.3">
      <c r="A80"/>
      <c r="B80"/>
    </row>
    <row r="81" spans="1:2" x14ac:dyDescent="0.3">
      <c r="A81"/>
      <c r="B81"/>
    </row>
    <row r="82" spans="1:2" x14ac:dyDescent="0.3">
      <c r="A82"/>
      <c r="B82"/>
    </row>
    <row r="83" spans="1:2" x14ac:dyDescent="0.3">
      <c r="A83"/>
      <c r="B83"/>
    </row>
    <row r="84" spans="1:2" x14ac:dyDescent="0.3">
      <c r="A84"/>
      <c r="B84"/>
    </row>
    <row r="85" spans="1:2" x14ac:dyDescent="0.3">
      <c r="A85"/>
      <c r="B85"/>
    </row>
    <row r="86" spans="1:2" x14ac:dyDescent="0.3">
      <c r="A86"/>
      <c r="B86"/>
    </row>
    <row r="87" spans="1:2" x14ac:dyDescent="0.3">
      <c r="A87"/>
      <c r="B87"/>
    </row>
    <row r="88" spans="1:2" x14ac:dyDescent="0.3">
      <c r="A88"/>
      <c r="B88"/>
    </row>
    <row r="89" spans="1:2" x14ac:dyDescent="0.3">
      <c r="A89"/>
      <c r="B89"/>
    </row>
    <row r="90" spans="1:2" x14ac:dyDescent="0.3">
      <c r="A90"/>
      <c r="B90"/>
    </row>
    <row r="91" spans="1:2" x14ac:dyDescent="0.3">
      <c r="A91"/>
      <c r="B91"/>
    </row>
    <row r="92" spans="1:2" x14ac:dyDescent="0.3">
      <c r="A92"/>
      <c r="B92"/>
    </row>
    <row r="93" spans="1:2" x14ac:dyDescent="0.3">
      <c r="A93"/>
      <c r="B93"/>
    </row>
    <row r="94" spans="1:2" x14ac:dyDescent="0.3">
      <c r="A94"/>
      <c r="B94"/>
    </row>
    <row r="95" spans="1:2" x14ac:dyDescent="0.3">
      <c r="A95"/>
      <c r="B95"/>
    </row>
    <row r="96" spans="1:2" x14ac:dyDescent="0.3">
      <c r="A96"/>
      <c r="B96"/>
    </row>
    <row r="97" spans="1:2" x14ac:dyDescent="0.3">
      <c r="A97"/>
      <c r="B97"/>
    </row>
    <row r="98" spans="1:2" x14ac:dyDescent="0.3">
      <c r="A98"/>
      <c r="B98"/>
    </row>
    <row r="99" spans="1:2" x14ac:dyDescent="0.3">
      <c r="A99"/>
      <c r="B99"/>
    </row>
    <row r="100" spans="1:2" x14ac:dyDescent="0.3">
      <c r="A100"/>
      <c r="B100"/>
    </row>
    <row r="101" spans="1:2" x14ac:dyDescent="0.3">
      <c r="A101"/>
      <c r="B101"/>
    </row>
    <row r="102" spans="1:2" x14ac:dyDescent="0.3">
      <c r="A102"/>
      <c r="B102"/>
    </row>
    <row r="103" spans="1:2" x14ac:dyDescent="0.3">
      <c r="A103"/>
      <c r="B103"/>
    </row>
    <row r="104" spans="1:2" x14ac:dyDescent="0.3">
      <c r="A104"/>
      <c r="B104"/>
    </row>
    <row r="105" spans="1:2" x14ac:dyDescent="0.3">
      <c r="A105"/>
      <c r="B105"/>
    </row>
    <row r="106" spans="1:2" x14ac:dyDescent="0.3">
      <c r="A106"/>
      <c r="B106"/>
    </row>
    <row r="107" spans="1:2" x14ac:dyDescent="0.3">
      <c r="A107"/>
      <c r="B107"/>
    </row>
    <row r="108" spans="1:2" x14ac:dyDescent="0.3">
      <c r="A108"/>
      <c r="B108"/>
    </row>
    <row r="109" spans="1:2" x14ac:dyDescent="0.3">
      <c r="A109"/>
      <c r="B109"/>
    </row>
    <row r="110" spans="1:2" x14ac:dyDescent="0.3">
      <c r="A110"/>
      <c r="B110"/>
    </row>
    <row r="111" spans="1:2" x14ac:dyDescent="0.3">
      <c r="A111"/>
      <c r="B111"/>
    </row>
    <row r="112" spans="1:2" x14ac:dyDescent="0.3">
      <c r="A112"/>
      <c r="B112"/>
    </row>
    <row r="113" spans="1:2" x14ac:dyDescent="0.3">
      <c r="A113"/>
      <c r="B113"/>
    </row>
    <row r="114" spans="1:2" x14ac:dyDescent="0.3">
      <c r="A114"/>
      <c r="B114"/>
    </row>
    <row r="115" spans="1:2" x14ac:dyDescent="0.3">
      <c r="A115"/>
      <c r="B115"/>
    </row>
    <row r="116" spans="1:2" x14ac:dyDescent="0.3">
      <c r="A116"/>
      <c r="B116"/>
    </row>
    <row r="117" spans="1:2" x14ac:dyDescent="0.3">
      <c r="A117"/>
      <c r="B117"/>
    </row>
    <row r="118" spans="1:2" x14ac:dyDescent="0.3">
      <c r="A118"/>
      <c r="B118"/>
    </row>
    <row r="119" spans="1:2" x14ac:dyDescent="0.3">
      <c r="A119"/>
      <c r="B119"/>
    </row>
    <row r="120" spans="1:2" x14ac:dyDescent="0.3">
      <c r="A120"/>
      <c r="B120"/>
    </row>
    <row r="121" spans="1:2" x14ac:dyDescent="0.3">
      <c r="A121"/>
      <c r="B121"/>
    </row>
    <row r="122" spans="1:2" x14ac:dyDescent="0.3">
      <c r="A122"/>
      <c r="B122"/>
    </row>
    <row r="123" spans="1:2" x14ac:dyDescent="0.3">
      <c r="A123"/>
      <c r="B123"/>
    </row>
    <row r="124" spans="1:2" x14ac:dyDescent="0.3">
      <c r="A124"/>
      <c r="B124"/>
    </row>
    <row r="125" spans="1:2" x14ac:dyDescent="0.3">
      <c r="A125"/>
      <c r="B125"/>
    </row>
    <row r="126" spans="1:2" x14ac:dyDescent="0.3">
      <c r="A126"/>
      <c r="B126"/>
    </row>
    <row r="127" spans="1:2" x14ac:dyDescent="0.3">
      <c r="A127"/>
      <c r="B127"/>
    </row>
    <row r="128" spans="1:2" x14ac:dyDescent="0.3">
      <c r="A128"/>
      <c r="B128"/>
    </row>
    <row r="129" spans="1:2" x14ac:dyDescent="0.3">
      <c r="A129"/>
      <c r="B129"/>
    </row>
    <row r="130" spans="1:2" x14ac:dyDescent="0.3">
      <c r="A130"/>
      <c r="B130"/>
    </row>
    <row r="131" spans="1:2" x14ac:dyDescent="0.3">
      <c r="A131"/>
      <c r="B131"/>
    </row>
    <row r="132" spans="1:2" x14ac:dyDescent="0.3">
      <c r="A132"/>
      <c r="B132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6"/>
  <sheetViews>
    <sheetView workbookViewId="0">
      <selection activeCell="A16" sqref="A16"/>
    </sheetView>
  </sheetViews>
  <sheetFormatPr defaultRowHeight="14.4" x14ac:dyDescent="0.3"/>
  <cols>
    <col min="1" max="1" width="29.6640625" style="19" customWidth="1"/>
    <col min="2" max="16384" width="8.88671875" style="19"/>
  </cols>
  <sheetData>
    <row r="1" spans="1:17" x14ac:dyDescent="0.3">
      <c r="A1" s="172" t="s">
        <v>105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x14ac:dyDescent="0.3">
      <c r="A2" s="172" t="s">
        <v>106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x14ac:dyDescent="0.3">
      <c r="A3" s="172" t="s">
        <v>107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x14ac:dyDescent="0.3">
      <c r="A4" s="173" t="s">
        <v>108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7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</row>
    <row r="6" spans="1:17" x14ac:dyDescent="0.3">
      <c r="A6" s="22"/>
      <c r="B6" s="171" t="s">
        <v>109</v>
      </c>
      <c r="C6" s="171"/>
      <c r="D6" s="171"/>
      <c r="E6" s="171"/>
      <c r="F6" s="171"/>
      <c r="G6" s="171"/>
      <c r="H6" s="171"/>
      <c r="I6" s="22"/>
      <c r="J6" s="171" t="s">
        <v>110</v>
      </c>
      <c r="K6" s="171"/>
      <c r="L6" s="171"/>
      <c r="M6" s="171"/>
      <c r="N6" s="171"/>
      <c r="O6" s="171"/>
      <c r="P6" s="171"/>
      <c r="Q6" s="23"/>
    </row>
    <row r="7" spans="1:17" x14ac:dyDescent="0.3">
      <c r="A7" s="22"/>
      <c r="B7" s="24"/>
      <c r="C7" s="24"/>
      <c r="D7" s="24"/>
      <c r="E7" s="24"/>
      <c r="F7" s="24"/>
      <c r="G7" s="24"/>
      <c r="H7" s="24"/>
      <c r="I7" s="22"/>
      <c r="J7" s="24"/>
      <c r="K7" s="24"/>
      <c r="L7" s="24"/>
      <c r="M7" s="24"/>
      <c r="N7" s="24"/>
      <c r="O7" s="24"/>
      <c r="P7" s="24"/>
      <c r="Q7" s="23"/>
    </row>
    <row r="8" spans="1:17" ht="16.2" x14ac:dyDescent="0.3">
      <c r="A8" s="22"/>
      <c r="B8" s="25" t="s">
        <v>162</v>
      </c>
      <c r="C8" s="24"/>
      <c r="D8" s="174" t="s">
        <v>111</v>
      </c>
      <c r="E8" s="174"/>
      <c r="F8" s="174"/>
      <c r="G8" s="174"/>
      <c r="H8" s="24" t="s">
        <v>109</v>
      </c>
      <c r="I8" s="24"/>
      <c r="J8" s="25" t="s">
        <v>162</v>
      </c>
      <c r="K8" s="24"/>
      <c r="L8" s="174" t="s">
        <v>111</v>
      </c>
      <c r="M8" s="174"/>
      <c r="N8" s="174"/>
      <c r="O8" s="174"/>
      <c r="P8" s="24" t="s">
        <v>110</v>
      </c>
      <c r="Q8" s="26" t="s">
        <v>112</v>
      </c>
    </row>
    <row r="9" spans="1:17" x14ac:dyDescent="0.3">
      <c r="A9" s="27" t="s">
        <v>113</v>
      </c>
      <c r="B9" s="25" t="s">
        <v>114</v>
      </c>
      <c r="C9" s="25"/>
      <c r="D9" s="28" t="s">
        <v>115</v>
      </c>
      <c r="E9" s="28" t="s">
        <v>116</v>
      </c>
      <c r="F9" s="28" t="s">
        <v>117</v>
      </c>
      <c r="G9" s="28" t="s">
        <v>17</v>
      </c>
      <c r="H9" s="24" t="s">
        <v>4</v>
      </c>
      <c r="I9" s="24"/>
      <c r="J9" s="25" t="s">
        <v>114</v>
      </c>
      <c r="K9" s="25"/>
      <c r="L9" s="25" t="s">
        <v>115</v>
      </c>
      <c r="M9" s="25" t="s">
        <v>116</v>
      </c>
      <c r="N9" s="25" t="s">
        <v>117</v>
      </c>
      <c r="O9" s="28" t="s">
        <v>17</v>
      </c>
      <c r="P9" s="24" t="s">
        <v>4</v>
      </c>
      <c r="Q9" s="26" t="s">
        <v>4</v>
      </c>
    </row>
    <row r="10" spans="1:17" x14ac:dyDescent="0.3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3"/>
    </row>
    <row r="11" spans="1:17" x14ac:dyDescent="0.3">
      <c r="A11" s="22" t="s">
        <v>118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1"/>
    </row>
    <row r="12" spans="1:17" x14ac:dyDescent="0.3">
      <c r="A12" s="21" t="s">
        <v>10</v>
      </c>
      <c r="B12" s="21">
        <v>11</v>
      </c>
      <c r="C12" s="21"/>
      <c r="D12" s="21">
        <v>8</v>
      </c>
      <c r="E12" s="21">
        <v>3</v>
      </c>
      <c r="F12" s="21">
        <v>5</v>
      </c>
      <c r="G12" s="23">
        <v>16</v>
      </c>
      <c r="H12" s="23">
        <v>27</v>
      </c>
      <c r="I12" s="21"/>
      <c r="J12" s="21">
        <v>0</v>
      </c>
      <c r="K12" s="21"/>
      <c r="L12" s="21">
        <v>0</v>
      </c>
      <c r="M12" s="21">
        <v>1</v>
      </c>
      <c r="N12" s="21">
        <v>0</v>
      </c>
      <c r="O12" s="23">
        <v>1</v>
      </c>
      <c r="P12" s="23">
        <v>1</v>
      </c>
      <c r="Q12" s="23">
        <v>28</v>
      </c>
    </row>
    <row r="13" spans="1:17" x14ac:dyDescent="0.3">
      <c r="A13" s="21" t="s">
        <v>11</v>
      </c>
      <c r="B13" s="21">
        <v>7</v>
      </c>
      <c r="C13" s="21"/>
      <c r="D13" s="21">
        <v>2</v>
      </c>
      <c r="E13" s="21">
        <v>3</v>
      </c>
      <c r="F13" s="21">
        <v>4</v>
      </c>
      <c r="G13" s="23">
        <v>9</v>
      </c>
      <c r="H13" s="23">
        <v>16</v>
      </c>
      <c r="I13" s="21"/>
      <c r="J13" s="21">
        <v>1</v>
      </c>
      <c r="K13" s="21"/>
      <c r="L13" s="21">
        <v>0</v>
      </c>
      <c r="M13" s="21">
        <v>0</v>
      </c>
      <c r="N13" s="21">
        <v>0</v>
      </c>
      <c r="O13" s="23">
        <v>0</v>
      </c>
      <c r="P13" s="23">
        <v>1</v>
      </c>
      <c r="Q13" s="23">
        <v>17</v>
      </c>
    </row>
    <row r="14" spans="1:17" x14ac:dyDescent="0.3">
      <c r="A14" s="21" t="s">
        <v>12</v>
      </c>
      <c r="B14" s="21">
        <v>3</v>
      </c>
      <c r="C14" s="21"/>
      <c r="D14" s="21">
        <v>5</v>
      </c>
      <c r="E14" s="21">
        <v>1</v>
      </c>
      <c r="F14" s="21">
        <v>0</v>
      </c>
      <c r="G14" s="23">
        <v>6</v>
      </c>
      <c r="H14" s="23">
        <v>9</v>
      </c>
      <c r="I14" s="21"/>
      <c r="J14" s="21">
        <v>0</v>
      </c>
      <c r="K14" s="21"/>
      <c r="L14" s="21">
        <v>1</v>
      </c>
      <c r="M14" s="21">
        <v>0</v>
      </c>
      <c r="N14" s="21">
        <v>0</v>
      </c>
      <c r="O14" s="23">
        <v>1</v>
      </c>
      <c r="P14" s="23">
        <v>1</v>
      </c>
      <c r="Q14" s="23">
        <v>10</v>
      </c>
    </row>
    <row r="15" spans="1:17" x14ac:dyDescent="0.3">
      <c r="A15" s="21" t="s">
        <v>13</v>
      </c>
      <c r="B15" s="21">
        <v>0</v>
      </c>
      <c r="C15" s="21"/>
      <c r="D15" s="21">
        <v>2</v>
      </c>
      <c r="E15" s="21">
        <v>2</v>
      </c>
      <c r="F15" s="21">
        <v>2</v>
      </c>
      <c r="G15" s="23">
        <v>6</v>
      </c>
      <c r="H15" s="23">
        <v>6</v>
      </c>
      <c r="I15" s="21"/>
      <c r="J15" s="21">
        <v>0</v>
      </c>
      <c r="K15" s="21"/>
      <c r="L15" s="21">
        <v>0</v>
      </c>
      <c r="M15" s="21">
        <v>0</v>
      </c>
      <c r="N15" s="21">
        <v>0</v>
      </c>
      <c r="O15" s="23">
        <v>0</v>
      </c>
      <c r="P15" s="23">
        <v>0</v>
      </c>
      <c r="Q15" s="23">
        <v>6</v>
      </c>
    </row>
    <row r="16" spans="1:17" x14ac:dyDescent="0.3">
      <c r="A16" s="21" t="s">
        <v>14</v>
      </c>
      <c r="B16" s="21">
        <v>7</v>
      </c>
      <c r="C16" s="21"/>
      <c r="D16" s="21">
        <v>1</v>
      </c>
      <c r="E16" s="21">
        <v>2</v>
      </c>
      <c r="F16" s="21">
        <v>2</v>
      </c>
      <c r="G16" s="23">
        <v>5</v>
      </c>
      <c r="H16" s="23">
        <v>12</v>
      </c>
      <c r="I16" s="21"/>
      <c r="J16" s="21">
        <v>0</v>
      </c>
      <c r="K16" s="21"/>
      <c r="L16" s="21">
        <v>0</v>
      </c>
      <c r="M16" s="21">
        <v>0</v>
      </c>
      <c r="N16" s="21">
        <v>2</v>
      </c>
      <c r="O16" s="23">
        <v>2</v>
      </c>
      <c r="P16" s="23">
        <v>2</v>
      </c>
      <c r="Q16" s="23">
        <v>14</v>
      </c>
    </row>
    <row r="17" spans="1:17" ht="16.2" x14ac:dyDescent="0.3">
      <c r="A17" s="21" t="s">
        <v>89</v>
      </c>
      <c r="B17" s="21">
        <v>18</v>
      </c>
      <c r="C17" s="21"/>
      <c r="D17" s="21">
        <v>14</v>
      </c>
      <c r="E17" s="21">
        <v>9</v>
      </c>
      <c r="F17" s="21">
        <v>1</v>
      </c>
      <c r="G17" s="23">
        <v>24</v>
      </c>
      <c r="H17" s="23">
        <v>42</v>
      </c>
      <c r="I17" s="21"/>
      <c r="J17" s="21">
        <v>0</v>
      </c>
      <c r="K17" s="21"/>
      <c r="L17" s="21">
        <v>0</v>
      </c>
      <c r="M17" s="21">
        <v>0</v>
      </c>
      <c r="N17" s="21">
        <v>1</v>
      </c>
      <c r="O17" s="23">
        <v>1</v>
      </c>
      <c r="P17" s="23">
        <v>1</v>
      </c>
      <c r="Q17" s="23">
        <v>43</v>
      </c>
    </row>
    <row r="18" spans="1:17" x14ac:dyDescent="0.3">
      <c r="A18" s="21" t="s">
        <v>15</v>
      </c>
      <c r="B18" s="21">
        <v>7</v>
      </c>
      <c r="C18" s="21"/>
      <c r="D18" s="21">
        <v>9</v>
      </c>
      <c r="E18" s="21">
        <v>8</v>
      </c>
      <c r="F18" s="21">
        <v>2</v>
      </c>
      <c r="G18" s="23">
        <v>19</v>
      </c>
      <c r="H18" s="23">
        <v>26</v>
      </c>
      <c r="I18" s="21"/>
      <c r="J18" s="21">
        <v>0</v>
      </c>
      <c r="K18" s="21"/>
      <c r="L18" s="21">
        <v>1</v>
      </c>
      <c r="M18" s="21">
        <v>1</v>
      </c>
      <c r="N18" s="21">
        <v>1</v>
      </c>
      <c r="O18" s="23">
        <v>3</v>
      </c>
      <c r="P18" s="23">
        <v>3</v>
      </c>
      <c r="Q18" s="23">
        <v>29</v>
      </c>
    </row>
    <row r="19" spans="1:17" x14ac:dyDescent="0.3">
      <c r="A19" s="21" t="s">
        <v>16</v>
      </c>
      <c r="B19" s="21">
        <v>3</v>
      </c>
      <c r="C19" s="21"/>
      <c r="D19" s="21">
        <v>10</v>
      </c>
      <c r="E19" s="21">
        <v>2</v>
      </c>
      <c r="F19" s="21">
        <v>2</v>
      </c>
      <c r="G19" s="23">
        <v>14</v>
      </c>
      <c r="H19" s="23">
        <v>17</v>
      </c>
      <c r="I19" s="21"/>
      <c r="J19" s="21">
        <v>0</v>
      </c>
      <c r="K19" s="21"/>
      <c r="L19" s="21">
        <v>0</v>
      </c>
      <c r="M19" s="21">
        <v>0</v>
      </c>
      <c r="N19" s="21">
        <v>3</v>
      </c>
      <c r="O19" s="23">
        <v>3</v>
      </c>
      <c r="P19" s="23">
        <v>3</v>
      </c>
      <c r="Q19" s="23">
        <v>20</v>
      </c>
    </row>
    <row r="20" spans="1:17" ht="16.2" x14ac:dyDescent="0.3">
      <c r="A20" s="21" t="s">
        <v>64</v>
      </c>
      <c r="B20" s="21">
        <v>1</v>
      </c>
      <c r="C20" s="21"/>
      <c r="D20" s="21">
        <v>2</v>
      </c>
      <c r="E20" s="21">
        <v>3</v>
      </c>
      <c r="F20" s="21">
        <v>0</v>
      </c>
      <c r="G20" s="23">
        <v>5</v>
      </c>
      <c r="H20" s="23">
        <v>6</v>
      </c>
      <c r="I20" s="21"/>
      <c r="J20" s="21">
        <v>0</v>
      </c>
      <c r="K20" s="21"/>
      <c r="L20" s="21">
        <v>0</v>
      </c>
      <c r="M20" s="21">
        <v>0</v>
      </c>
      <c r="N20" s="21">
        <v>0</v>
      </c>
      <c r="O20" s="23">
        <v>0</v>
      </c>
      <c r="P20" s="23">
        <v>0</v>
      </c>
      <c r="Q20" s="23">
        <v>6</v>
      </c>
    </row>
    <row r="21" spans="1:17" x14ac:dyDescent="0.3">
      <c r="A21" s="31" t="s">
        <v>17</v>
      </c>
      <c r="B21" s="23">
        <v>57</v>
      </c>
      <c r="C21" s="23"/>
      <c r="D21" s="23">
        <v>53</v>
      </c>
      <c r="E21" s="23">
        <v>33</v>
      </c>
      <c r="F21" s="23">
        <v>18</v>
      </c>
      <c r="G21" s="23">
        <v>104</v>
      </c>
      <c r="H21" s="23">
        <v>161</v>
      </c>
      <c r="I21" s="30"/>
      <c r="J21" s="23">
        <v>1</v>
      </c>
      <c r="K21" s="23"/>
      <c r="L21" s="23">
        <v>2</v>
      </c>
      <c r="M21" s="23">
        <v>2</v>
      </c>
      <c r="N21" s="23">
        <v>7</v>
      </c>
      <c r="O21" s="23">
        <v>11</v>
      </c>
      <c r="P21" s="23">
        <v>12</v>
      </c>
      <c r="Q21" s="23">
        <v>173</v>
      </c>
    </row>
    <row r="22" spans="1:17" x14ac:dyDescent="0.3">
      <c r="A22" s="32" t="s">
        <v>119</v>
      </c>
      <c r="B22" s="33">
        <v>0.35403726708074534</v>
      </c>
      <c r="C22" s="33"/>
      <c r="D22" s="33">
        <v>0.32919254658385094</v>
      </c>
      <c r="E22" s="33">
        <v>0.20496894409937888</v>
      </c>
      <c r="F22" s="33">
        <v>0.11180124223602485</v>
      </c>
      <c r="G22" s="33">
        <v>0.64596273291925466</v>
      </c>
      <c r="H22" s="33">
        <v>1</v>
      </c>
      <c r="I22" s="34"/>
      <c r="J22" s="33">
        <v>8.3333333333333329E-2</v>
      </c>
      <c r="K22" s="33"/>
      <c r="L22" s="33">
        <v>0.16666666666666666</v>
      </c>
      <c r="M22" s="33">
        <v>0.16666666666666666</v>
      </c>
      <c r="N22" s="33">
        <v>0.58333333333333337</v>
      </c>
      <c r="O22" s="33">
        <v>0.91666666666666674</v>
      </c>
      <c r="P22" s="33">
        <v>1</v>
      </c>
      <c r="Q22" s="35"/>
    </row>
    <row r="23" spans="1:17" x14ac:dyDescent="0.3">
      <c r="A23" s="2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3"/>
    </row>
    <row r="24" spans="1:17" x14ac:dyDescent="0.3">
      <c r="A24" s="23" t="s">
        <v>188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3"/>
    </row>
    <row r="25" spans="1:17" x14ac:dyDescent="0.3">
      <c r="A25" s="21" t="s">
        <v>18</v>
      </c>
      <c r="B25" s="21">
        <v>25</v>
      </c>
      <c r="C25" s="21"/>
      <c r="D25" s="21">
        <v>26</v>
      </c>
      <c r="E25" s="21">
        <v>3</v>
      </c>
      <c r="F25" s="21">
        <v>2</v>
      </c>
      <c r="G25" s="23">
        <v>31</v>
      </c>
      <c r="H25" s="23">
        <v>56</v>
      </c>
      <c r="I25" s="21"/>
      <c r="J25" s="21">
        <v>0</v>
      </c>
      <c r="K25" s="21"/>
      <c r="L25" s="21">
        <v>0</v>
      </c>
      <c r="M25" s="21">
        <v>0</v>
      </c>
      <c r="N25" s="21">
        <v>0</v>
      </c>
      <c r="O25" s="23">
        <v>0</v>
      </c>
      <c r="P25" s="23">
        <v>0</v>
      </c>
      <c r="Q25" s="23">
        <v>56</v>
      </c>
    </row>
    <row r="26" spans="1:17" x14ac:dyDescent="0.3">
      <c r="A26" s="21" t="s">
        <v>19</v>
      </c>
      <c r="B26" s="21">
        <v>12</v>
      </c>
      <c r="C26" s="21"/>
      <c r="D26" s="21">
        <v>10</v>
      </c>
      <c r="E26" s="21">
        <v>11</v>
      </c>
      <c r="F26" s="21">
        <v>13</v>
      </c>
      <c r="G26" s="23">
        <v>34</v>
      </c>
      <c r="H26" s="23">
        <v>46</v>
      </c>
      <c r="I26" s="21"/>
      <c r="J26" s="21">
        <v>0</v>
      </c>
      <c r="K26" s="21"/>
      <c r="L26" s="21">
        <v>3</v>
      </c>
      <c r="M26" s="21">
        <v>0</v>
      </c>
      <c r="N26" s="21">
        <v>0</v>
      </c>
      <c r="O26" s="23">
        <v>3</v>
      </c>
      <c r="P26" s="23">
        <v>3</v>
      </c>
      <c r="Q26" s="23">
        <v>49</v>
      </c>
    </row>
    <row r="27" spans="1:17" x14ac:dyDescent="0.3">
      <c r="A27" s="21" t="s">
        <v>20</v>
      </c>
      <c r="B27" s="21">
        <v>9</v>
      </c>
      <c r="C27" s="21"/>
      <c r="D27" s="21">
        <v>6</v>
      </c>
      <c r="E27" s="21">
        <v>11</v>
      </c>
      <c r="F27" s="21">
        <v>8</v>
      </c>
      <c r="G27" s="23">
        <v>25</v>
      </c>
      <c r="H27" s="23">
        <v>34</v>
      </c>
      <c r="I27" s="21"/>
      <c r="J27" s="21">
        <v>1</v>
      </c>
      <c r="K27" s="21"/>
      <c r="L27" s="21">
        <v>0</v>
      </c>
      <c r="M27" s="21">
        <v>0</v>
      </c>
      <c r="N27" s="21">
        <v>2</v>
      </c>
      <c r="O27" s="23">
        <v>2</v>
      </c>
      <c r="P27" s="23">
        <v>3</v>
      </c>
      <c r="Q27" s="23">
        <v>37</v>
      </c>
    </row>
    <row r="28" spans="1:17" x14ac:dyDescent="0.3">
      <c r="A28" s="21" t="s">
        <v>21</v>
      </c>
      <c r="B28" s="21">
        <v>14</v>
      </c>
      <c r="C28" s="21"/>
      <c r="D28" s="21">
        <v>14</v>
      </c>
      <c r="E28" s="21">
        <v>15</v>
      </c>
      <c r="F28" s="21">
        <v>17</v>
      </c>
      <c r="G28" s="23">
        <v>46</v>
      </c>
      <c r="H28" s="23">
        <v>60</v>
      </c>
      <c r="I28" s="21"/>
      <c r="J28" s="21">
        <v>0</v>
      </c>
      <c r="K28" s="21"/>
      <c r="L28" s="21">
        <v>0</v>
      </c>
      <c r="M28" s="21">
        <v>0</v>
      </c>
      <c r="N28" s="21">
        <v>1</v>
      </c>
      <c r="O28" s="23">
        <v>1</v>
      </c>
      <c r="P28" s="23">
        <v>1</v>
      </c>
      <c r="Q28" s="23">
        <v>61</v>
      </c>
    </row>
    <row r="29" spans="1:17" x14ac:dyDescent="0.3">
      <c r="A29" s="31" t="s">
        <v>17</v>
      </c>
      <c r="B29" s="23">
        <v>60</v>
      </c>
      <c r="C29" s="23"/>
      <c r="D29" s="23">
        <v>56</v>
      </c>
      <c r="E29" s="23">
        <v>40</v>
      </c>
      <c r="F29" s="23">
        <v>40</v>
      </c>
      <c r="G29" s="23">
        <v>136</v>
      </c>
      <c r="H29" s="23">
        <v>196</v>
      </c>
      <c r="I29" s="30"/>
      <c r="J29" s="23">
        <v>1</v>
      </c>
      <c r="K29" s="23"/>
      <c r="L29" s="23">
        <v>3</v>
      </c>
      <c r="M29" s="23">
        <v>0</v>
      </c>
      <c r="N29" s="23">
        <v>3</v>
      </c>
      <c r="O29" s="23">
        <v>6</v>
      </c>
      <c r="P29" s="23">
        <v>7</v>
      </c>
      <c r="Q29" s="23">
        <v>203</v>
      </c>
    </row>
    <row r="30" spans="1:17" x14ac:dyDescent="0.3">
      <c r="A30" s="32" t="s">
        <v>119</v>
      </c>
      <c r="B30" s="33">
        <v>0.30612244897959184</v>
      </c>
      <c r="C30" s="33"/>
      <c r="D30" s="33">
        <v>0.2857142857142857</v>
      </c>
      <c r="E30" s="33">
        <v>0.20408163265306123</v>
      </c>
      <c r="F30" s="33">
        <v>0.20408163265306123</v>
      </c>
      <c r="G30" s="33">
        <v>0.69387755102040816</v>
      </c>
      <c r="H30" s="33">
        <v>1</v>
      </c>
      <c r="I30" s="34"/>
      <c r="J30" s="33">
        <v>0.14285714285714285</v>
      </c>
      <c r="K30" s="33"/>
      <c r="L30" s="33">
        <v>0.42857142857142855</v>
      </c>
      <c r="M30" s="33">
        <v>0</v>
      </c>
      <c r="N30" s="33">
        <v>0.42857142857142855</v>
      </c>
      <c r="O30" s="33">
        <v>0.8571428571428571</v>
      </c>
      <c r="P30" s="33">
        <v>1</v>
      </c>
      <c r="Q30" s="35"/>
    </row>
    <row r="31" spans="1:17" x14ac:dyDescent="0.3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3"/>
    </row>
    <row r="32" spans="1:17" ht="16.2" x14ac:dyDescent="0.3">
      <c r="A32" s="36" t="s">
        <v>163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3"/>
    </row>
    <row r="33" spans="1:17" x14ac:dyDescent="0.3">
      <c r="A33" s="21" t="s">
        <v>23</v>
      </c>
      <c r="B33" s="21">
        <v>6</v>
      </c>
      <c r="C33" s="21"/>
      <c r="D33" s="21">
        <v>4</v>
      </c>
      <c r="E33" s="21">
        <v>0</v>
      </c>
      <c r="F33" s="21">
        <v>0</v>
      </c>
      <c r="G33" s="23">
        <v>4</v>
      </c>
      <c r="H33" s="23">
        <v>10</v>
      </c>
      <c r="I33" s="21"/>
      <c r="J33" s="21">
        <v>0</v>
      </c>
      <c r="K33" s="21"/>
      <c r="L33" s="21">
        <v>0</v>
      </c>
      <c r="M33" s="21">
        <v>0</v>
      </c>
      <c r="N33" s="21">
        <v>0</v>
      </c>
      <c r="O33" s="23">
        <v>0</v>
      </c>
      <c r="P33" s="23">
        <v>0</v>
      </c>
      <c r="Q33" s="23">
        <v>10</v>
      </c>
    </row>
    <row r="34" spans="1:17" x14ac:dyDescent="0.3">
      <c r="A34" s="31" t="s">
        <v>17</v>
      </c>
      <c r="B34" s="23">
        <v>6</v>
      </c>
      <c r="C34" s="23"/>
      <c r="D34" s="23">
        <v>4</v>
      </c>
      <c r="E34" s="23">
        <v>0</v>
      </c>
      <c r="F34" s="23">
        <v>0</v>
      </c>
      <c r="G34" s="23">
        <v>4</v>
      </c>
      <c r="H34" s="23">
        <v>10</v>
      </c>
      <c r="I34" s="30"/>
      <c r="J34" s="23">
        <v>0</v>
      </c>
      <c r="K34" s="23"/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10</v>
      </c>
    </row>
    <row r="35" spans="1:17" x14ac:dyDescent="0.3">
      <c r="A35" s="32" t="s">
        <v>119</v>
      </c>
      <c r="B35" s="33">
        <v>0.6</v>
      </c>
      <c r="C35" s="33"/>
      <c r="D35" s="33">
        <v>0.4</v>
      </c>
      <c r="E35" s="33">
        <v>0</v>
      </c>
      <c r="F35" s="33">
        <v>0</v>
      </c>
      <c r="G35" s="33">
        <v>0.4</v>
      </c>
      <c r="H35" s="33">
        <v>1</v>
      </c>
      <c r="I35" s="34"/>
      <c r="J35" s="33"/>
      <c r="K35" s="33"/>
      <c r="L35" s="33"/>
      <c r="M35" s="33"/>
      <c r="N35" s="33"/>
      <c r="O35" s="33"/>
      <c r="P35" s="33"/>
      <c r="Q35" s="35"/>
    </row>
    <row r="36" spans="1:17" x14ac:dyDescent="0.3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3"/>
    </row>
    <row r="37" spans="1:17" x14ac:dyDescent="0.3">
      <c r="A37" s="23" t="s">
        <v>24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3"/>
    </row>
    <row r="38" spans="1:17" x14ac:dyDescent="0.3">
      <c r="A38" s="21" t="s">
        <v>25</v>
      </c>
      <c r="B38" s="21">
        <v>2</v>
      </c>
      <c r="C38" s="21"/>
      <c r="D38" s="21">
        <v>6</v>
      </c>
      <c r="E38" s="21">
        <v>4</v>
      </c>
      <c r="F38" s="21">
        <v>11</v>
      </c>
      <c r="G38" s="23">
        <v>21</v>
      </c>
      <c r="H38" s="23">
        <v>23</v>
      </c>
      <c r="I38" s="21"/>
      <c r="J38" s="21">
        <v>0</v>
      </c>
      <c r="K38" s="21"/>
      <c r="L38" s="21">
        <v>0</v>
      </c>
      <c r="M38" s="21">
        <v>0</v>
      </c>
      <c r="N38" s="21">
        <v>2</v>
      </c>
      <c r="O38" s="23">
        <v>2</v>
      </c>
      <c r="P38" s="23">
        <v>2</v>
      </c>
      <c r="Q38" s="23">
        <v>25</v>
      </c>
    </row>
    <row r="39" spans="1:17" x14ac:dyDescent="0.3">
      <c r="A39" s="21" t="s">
        <v>26</v>
      </c>
      <c r="B39" s="21">
        <v>2</v>
      </c>
      <c r="C39" s="21"/>
      <c r="D39" s="21">
        <v>4</v>
      </c>
      <c r="E39" s="21">
        <v>0</v>
      </c>
      <c r="F39" s="21">
        <v>0</v>
      </c>
      <c r="G39" s="23">
        <v>4</v>
      </c>
      <c r="H39" s="23">
        <v>6</v>
      </c>
      <c r="I39" s="21"/>
      <c r="J39" s="21">
        <v>0</v>
      </c>
      <c r="K39" s="21"/>
      <c r="L39" s="21">
        <v>0</v>
      </c>
      <c r="M39" s="21">
        <v>0</v>
      </c>
      <c r="N39" s="21">
        <v>0</v>
      </c>
      <c r="O39" s="23">
        <v>0</v>
      </c>
      <c r="P39" s="23">
        <v>0</v>
      </c>
      <c r="Q39" s="23">
        <v>6</v>
      </c>
    </row>
    <row r="40" spans="1:17" x14ac:dyDescent="0.3">
      <c r="A40" s="21" t="s">
        <v>27</v>
      </c>
      <c r="B40" s="21">
        <v>9</v>
      </c>
      <c r="C40" s="21"/>
      <c r="D40" s="21">
        <v>6</v>
      </c>
      <c r="E40" s="21">
        <v>0</v>
      </c>
      <c r="F40" s="21">
        <v>0</v>
      </c>
      <c r="G40" s="23">
        <v>6</v>
      </c>
      <c r="H40" s="23">
        <v>15</v>
      </c>
      <c r="I40" s="21"/>
      <c r="J40" s="21">
        <v>0</v>
      </c>
      <c r="K40" s="21"/>
      <c r="L40" s="21">
        <v>0</v>
      </c>
      <c r="M40" s="21">
        <v>0</v>
      </c>
      <c r="N40" s="21">
        <v>0</v>
      </c>
      <c r="O40" s="23">
        <v>0</v>
      </c>
      <c r="P40" s="23">
        <v>0</v>
      </c>
      <c r="Q40" s="23">
        <v>15</v>
      </c>
    </row>
    <row r="41" spans="1:17" x14ac:dyDescent="0.3">
      <c r="A41" s="21" t="s">
        <v>28</v>
      </c>
      <c r="B41" s="21">
        <v>2</v>
      </c>
      <c r="C41" s="21"/>
      <c r="D41" s="21">
        <v>3</v>
      </c>
      <c r="E41" s="21">
        <v>4</v>
      </c>
      <c r="F41" s="21">
        <v>2</v>
      </c>
      <c r="G41" s="23">
        <v>9</v>
      </c>
      <c r="H41" s="23">
        <v>11</v>
      </c>
      <c r="I41" s="21"/>
      <c r="J41" s="21">
        <v>0</v>
      </c>
      <c r="K41" s="21"/>
      <c r="L41" s="21">
        <v>0</v>
      </c>
      <c r="M41" s="21">
        <v>0</v>
      </c>
      <c r="N41" s="21">
        <v>0</v>
      </c>
      <c r="O41" s="23">
        <v>0</v>
      </c>
      <c r="P41" s="23">
        <v>0</v>
      </c>
      <c r="Q41" s="23">
        <v>11</v>
      </c>
    </row>
    <row r="42" spans="1:17" x14ac:dyDescent="0.3">
      <c r="A42" s="21" t="s">
        <v>29</v>
      </c>
      <c r="B42" s="21">
        <v>1</v>
      </c>
      <c r="C42" s="21"/>
      <c r="D42" s="21">
        <v>1</v>
      </c>
      <c r="E42" s="21">
        <v>0</v>
      </c>
      <c r="F42" s="21">
        <v>1</v>
      </c>
      <c r="G42" s="23">
        <v>2</v>
      </c>
      <c r="H42" s="23">
        <v>3</v>
      </c>
      <c r="I42" s="21"/>
      <c r="J42" s="21">
        <v>0</v>
      </c>
      <c r="K42" s="21"/>
      <c r="L42" s="21">
        <v>1</v>
      </c>
      <c r="M42" s="21">
        <v>0</v>
      </c>
      <c r="N42" s="21">
        <v>0</v>
      </c>
      <c r="O42" s="23">
        <v>1</v>
      </c>
      <c r="P42" s="23">
        <v>1</v>
      </c>
      <c r="Q42" s="23">
        <v>4</v>
      </c>
    </row>
    <row r="43" spans="1:17" x14ac:dyDescent="0.3">
      <c r="A43" s="21" t="s">
        <v>30</v>
      </c>
      <c r="B43" s="21">
        <v>1</v>
      </c>
      <c r="C43" s="21"/>
      <c r="D43" s="21">
        <v>3</v>
      </c>
      <c r="E43" s="21">
        <v>0</v>
      </c>
      <c r="F43" s="21">
        <v>1</v>
      </c>
      <c r="G43" s="23">
        <v>4</v>
      </c>
      <c r="H43" s="23">
        <v>5</v>
      </c>
      <c r="I43" s="21"/>
      <c r="J43" s="21">
        <v>0</v>
      </c>
      <c r="K43" s="21"/>
      <c r="L43" s="21">
        <v>0</v>
      </c>
      <c r="M43" s="21">
        <v>0</v>
      </c>
      <c r="N43" s="21">
        <v>0</v>
      </c>
      <c r="O43" s="23">
        <v>0</v>
      </c>
      <c r="P43" s="23">
        <v>0</v>
      </c>
      <c r="Q43" s="23">
        <v>5</v>
      </c>
    </row>
    <row r="44" spans="1:17" x14ac:dyDescent="0.3">
      <c r="A44" s="21" t="s">
        <v>183</v>
      </c>
      <c r="B44" s="21">
        <v>7</v>
      </c>
      <c r="C44" s="21"/>
      <c r="D44" s="21">
        <v>8</v>
      </c>
      <c r="E44" s="21">
        <v>5</v>
      </c>
      <c r="F44" s="21">
        <v>13</v>
      </c>
      <c r="G44" s="23">
        <v>26</v>
      </c>
      <c r="H44" s="23">
        <v>33</v>
      </c>
      <c r="I44" s="21"/>
      <c r="J44" s="21">
        <v>1</v>
      </c>
      <c r="K44" s="21"/>
      <c r="L44" s="21">
        <v>1</v>
      </c>
      <c r="M44" s="21">
        <v>1</v>
      </c>
      <c r="N44" s="21">
        <v>1</v>
      </c>
      <c r="O44" s="23">
        <v>3</v>
      </c>
      <c r="P44" s="23">
        <v>4</v>
      </c>
      <c r="Q44" s="23">
        <v>37</v>
      </c>
    </row>
    <row r="45" spans="1:17" x14ac:dyDescent="0.3">
      <c r="A45" s="21" t="s">
        <v>31</v>
      </c>
      <c r="B45" s="21">
        <v>0</v>
      </c>
      <c r="C45" s="21"/>
      <c r="D45" s="21">
        <v>1</v>
      </c>
      <c r="E45" s="21">
        <v>0</v>
      </c>
      <c r="F45" s="21">
        <v>0</v>
      </c>
      <c r="G45" s="23">
        <v>1</v>
      </c>
      <c r="H45" s="23">
        <v>1</v>
      </c>
      <c r="I45" s="21"/>
      <c r="J45" s="21">
        <v>0</v>
      </c>
      <c r="K45" s="21"/>
      <c r="L45" s="21">
        <v>0</v>
      </c>
      <c r="M45" s="21">
        <v>0</v>
      </c>
      <c r="N45" s="21">
        <v>0</v>
      </c>
      <c r="O45" s="23">
        <v>0</v>
      </c>
      <c r="P45" s="23">
        <v>0</v>
      </c>
      <c r="Q45" s="23">
        <v>1</v>
      </c>
    </row>
    <row r="46" spans="1:17" x14ac:dyDescent="0.3">
      <c r="A46" s="21" t="s">
        <v>32</v>
      </c>
      <c r="B46" s="21">
        <v>1</v>
      </c>
      <c r="C46" s="21"/>
      <c r="D46" s="21">
        <v>5</v>
      </c>
      <c r="E46" s="21">
        <v>1</v>
      </c>
      <c r="F46" s="21">
        <v>3</v>
      </c>
      <c r="G46" s="23">
        <v>9</v>
      </c>
      <c r="H46" s="23">
        <v>10</v>
      </c>
      <c r="I46" s="21"/>
      <c r="J46" s="21">
        <v>0</v>
      </c>
      <c r="K46" s="21"/>
      <c r="L46" s="21">
        <v>0</v>
      </c>
      <c r="M46" s="21">
        <v>0</v>
      </c>
      <c r="N46" s="21">
        <v>0</v>
      </c>
      <c r="O46" s="23">
        <v>0</v>
      </c>
      <c r="P46" s="23">
        <v>0</v>
      </c>
      <c r="Q46" s="23">
        <v>10</v>
      </c>
    </row>
    <row r="47" spans="1:17" x14ac:dyDescent="0.3">
      <c r="A47" s="21" t="s">
        <v>33</v>
      </c>
      <c r="B47" s="21">
        <v>2</v>
      </c>
      <c r="C47" s="21"/>
      <c r="D47" s="21">
        <v>3</v>
      </c>
      <c r="E47" s="21">
        <v>3</v>
      </c>
      <c r="F47" s="21">
        <v>3</v>
      </c>
      <c r="G47" s="23">
        <v>9</v>
      </c>
      <c r="H47" s="23">
        <v>11</v>
      </c>
      <c r="I47" s="21"/>
      <c r="J47" s="21">
        <v>0</v>
      </c>
      <c r="K47" s="21"/>
      <c r="L47" s="21">
        <v>0</v>
      </c>
      <c r="M47" s="21">
        <v>0</v>
      </c>
      <c r="N47" s="21">
        <v>0</v>
      </c>
      <c r="O47" s="23">
        <v>0</v>
      </c>
      <c r="P47" s="23">
        <v>0</v>
      </c>
      <c r="Q47" s="23">
        <v>11</v>
      </c>
    </row>
    <row r="48" spans="1:17" x14ac:dyDescent="0.3">
      <c r="A48" s="21" t="s">
        <v>34</v>
      </c>
      <c r="B48" s="21">
        <v>2</v>
      </c>
      <c r="C48" s="21"/>
      <c r="D48" s="21">
        <v>5</v>
      </c>
      <c r="E48" s="21">
        <v>1</v>
      </c>
      <c r="F48" s="21">
        <v>2</v>
      </c>
      <c r="G48" s="23">
        <v>8</v>
      </c>
      <c r="H48" s="23">
        <v>10</v>
      </c>
      <c r="I48" s="21"/>
      <c r="J48" s="21">
        <v>0</v>
      </c>
      <c r="K48" s="21"/>
      <c r="L48" s="21">
        <v>0</v>
      </c>
      <c r="M48" s="21">
        <v>1</v>
      </c>
      <c r="N48" s="21">
        <v>0</v>
      </c>
      <c r="O48" s="23">
        <v>1</v>
      </c>
      <c r="P48" s="23">
        <v>1</v>
      </c>
      <c r="Q48" s="23">
        <v>11</v>
      </c>
    </row>
    <row r="49" spans="1:17" x14ac:dyDescent="0.3">
      <c r="A49" s="21" t="s">
        <v>35</v>
      </c>
      <c r="B49" s="21">
        <v>13</v>
      </c>
      <c r="C49" s="21"/>
      <c r="D49" s="21">
        <v>6</v>
      </c>
      <c r="E49" s="21">
        <v>1</v>
      </c>
      <c r="F49" s="21">
        <v>4</v>
      </c>
      <c r="G49" s="23">
        <v>11</v>
      </c>
      <c r="H49" s="23">
        <v>24</v>
      </c>
      <c r="I49" s="21"/>
      <c r="J49" s="21">
        <v>0</v>
      </c>
      <c r="K49" s="21"/>
      <c r="L49" s="21">
        <v>0</v>
      </c>
      <c r="M49" s="21">
        <v>0</v>
      </c>
      <c r="N49" s="21">
        <v>0</v>
      </c>
      <c r="O49" s="23">
        <v>0</v>
      </c>
      <c r="P49" s="23">
        <v>0</v>
      </c>
      <c r="Q49" s="23">
        <v>24</v>
      </c>
    </row>
    <row r="50" spans="1:17" x14ac:dyDescent="0.3">
      <c r="A50" s="21" t="s">
        <v>36</v>
      </c>
      <c r="B50" s="21">
        <v>10</v>
      </c>
      <c r="C50" s="21"/>
      <c r="D50" s="21">
        <v>12</v>
      </c>
      <c r="E50" s="21">
        <v>0</v>
      </c>
      <c r="F50" s="21">
        <v>5</v>
      </c>
      <c r="G50" s="23">
        <v>17</v>
      </c>
      <c r="H50" s="23">
        <v>27</v>
      </c>
      <c r="I50" s="21"/>
      <c r="J50" s="21">
        <v>0</v>
      </c>
      <c r="K50" s="21"/>
      <c r="L50" s="21">
        <v>0</v>
      </c>
      <c r="M50" s="21">
        <v>0</v>
      </c>
      <c r="N50" s="21">
        <v>0</v>
      </c>
      <c r="O50" s="23">
        <v>0</v>
      </c>
      <c r="P50" s="23">
        <v>0</v>
      </c>
      <c r="Q50" s="23">
        <v>27</v>
      </c>
    </row>
    <row r="51" spans="1:17" x14ac:dyDescent="0.3">
      <c r="A51" s="37" t="s">
        <v>120</v>
      </c>
      <c r="B51" s="21">
        <v>8</v>
      </c>
      <c r="C51" s="21"/>
      <c r="D51" s="21">
        <v>8</v>
      </c>
      <c r="E51" s="21">
        <v>4</v>
      </c>
      <c r="F51" s="21">
        <v>0</v>
      </c>
      <c r="G51" s="23">
        <v>12</v>
      </c>
      <c r="H51" s="23">
        <v>20</v>
      </c>
      <c r="I51" s="21"/>
      <c r="J51" s="21">
        <v>0</v>
      </c>
      <c r="K51" s="21"/>
      <c r="L51" s="21">
        <v>0</v>
      </c>
      <c r="M51" s="21">
        <v>0</v>
      </c>
      <c r="N51" s="21">
        <v>0</v>
      </c>
      <c r="O51" s="23">
        <v>0</v>
      </c>
      <c r="P51" s="23">
        <v>0</v>
      </c>
      <c r="Q51" s="23">
        <v>20</v>
      </c>
    </row>
    <row r="52" spans="1:17" x14ac:dyDescent="0.3">
      <c r="A52" s="21" t="s">
        <v>184</v>
      </c>
      <c r="B52" s="21">
        <v>13</v>
      </c>
      <c r="C52" s="21"/>
      <c r="D52" s="21">
        <v>9</v>
      </c>
      <c r="E52" s="21">
        <v>3</v>
      </c>
      <c r="F52" s="21">
        <v>4</v>
      </c>
      <c r="G52" s="23">
        <v>16</v>
      </c>
      <c r="H52" s="23">
        <v>29</v>
      </c>
      <c r="I52" s="21"/>
      <c r="J52" s="21">
        <v>6</v>
      </c>
      <c r="K52" s="21"/>
      <c r="L52" s="21">
        <v>1</v>
      </c>
      <c r="M52" s="21">
        <v>11</v>
      </c>
      <c r="N52" s="21">
        <v>8</v>
      </c>
      <c r="O52" s="23">
        <v>20</v>
      </c>
      <c r="P52" s="23">
        <v>26</v>
      </c>
      <c r="Q52" s="23">
        <v>55</v>
      </c>
    </row>
    <row r="53" spans="1:17" x14ac:dyDescent="0.3">
      <c r="A53" s="21" t="s">
        <v>185</v>
      </c>
      <c r="B53" s="21">
        <v>2</v>
      </c>
      <c r="C53" s="21"/>
      <c r="D53" s="21">
        <v>5</v>
      </c>
      <c r="E53" s="21">
        <v>1</v>
      </c>
      <c r="F53" s="21">
        <v>0</v>
      </c>
      <c r="G53" s="23">
        <v>6</v>
      </c>
      <c r="H53" s="23">
        <v>8</v>
      </c>
      <c r="I53" s="21"/>
      <c r="J53" s="21">
        <v>0</v>
      </c>
      <c r="K53" s="21"/>
      <c r="L53" s="21">
        <v>0</v>
      </c>
      <c r="M53" s="21">
        <v>0</v>
      </c>
      <c r="N53" s="21">
        <v>0</v>
      </c>
      <c r="O53" s="23">
        <v>0</v>
      </c>
      <c r="P53" s="23">
        <v>0</v>
      </c>
      <c r="Q53" s="23">
        <v>8</v>
      </c>
    </row>
    <row r="54" spans="1:17" x14ac:dyDescent="0.3">
      <c r="A54" s="21" t="s">
        <v>37</v>
      </c>
      <c r="B54" s="21">
        <v>14</v>
      </c>
      <c r="C54" s="21"/>
      <c r="D54" s="21">
        <v>7</v>
      </c>
      <c r="E54" s="21">
        <v>3</v>
      </c>
      <c r="F54" s="21">
        <v>3</v>
      </c>
      <c r="G54" s="23">
        <v>13</v>
      </c>
      <c r="H54" s="23">
        <v>27</v>
      </c>
      <c r="I54" s="21"/>
      <c r="J54" s="21">
        <v>0</v>
      </c>
      <c r="K54" s="21"/>
      <c r="L54" s="21">
        <v>2</v>
      </c>
      <c r="M54" s="21">
        <v>1</v>
      </c>
      <c r="N54" s="21">
        <v>0</v>
      </c>
      <c r="O54" s="23">
        <v>3</v>
      </c>
      <c r="P54" s="23">
        <v>3</v>
      </c>
      <c r="Q54" s="23">
        <v>30</v>
      </c>
    </row>
    <row r="55" spans="1:17" x14ac:dyDescent="0.3">
      <c r="A55" s="31" t="s">
        <v>17</v>
      </c>
      <c r="B55" s="23">
        <v>89</v>
      </c>
      <c r="C55" s="23"/>
      <c r="D55" s="23">
        <v>92</v>
      </c>
      <c r="E55" s="23">
        <v>30</v>
      </c>
      <c r="F55" s="23">
        <v>52</v>
      </c>
      <c r="G55" s="23">
        <v>174</v>
      </c>
      <c r="H55" s="23">
        <v>263</v>
      </c>
      <c r="I55" s="21"/>
      <c r="J55" s="23">
        <v>7</v>
      </c>
      <c r="K55" s="23"/>
      <c r="L55" s="23">
        <v>5</v>
      </c>
      <c r="M55" s="23">
        <v>14</v>
      </c>
      <c r="N55" s="23">
        <v>11</v>
      </c>
      <c r="O55" s="23">
        <v>30</v>
      </c>
      <c r="P55" s="23">
        <v>37</v>
      </c>
      <c r="Q55" s="23">
        <v>300</v>
      </c>
    </row>
    <row r="56" spans="1:17" x14ac:dyDescent="0.3">
      <c r="A56" s="32" t="s">
        <v>119</v>
      </c>
      <c r="B56" s="33">
        <v>0.33840304182509506</v>
      </c>
      <c r="C56" s="33"/>
      <c r="D56" s="33">
        <v>0.34980988593155893</v>
      </c>
      <c r="E56" s="33">
        <v>0.11406844106463879</v>
      </c>
      <c r="F56" s="33">
        <v>0.19771863117870722</v>
      </c>
      <c r="G56" s="33">
        <v>0.66159695817490494</v>
      </c>
      <c r="H56" s="33">
        <v>1</v>
      </c>
      <c r="I56" s="34"/>
      <c r="J56" s="33">
        <v>0.1891891891891892</v>
      </c>
      <c r="K56" s="33"/>
      <c r="L56" s="33">
        <v>0.13513513513513514</v>
      </c>
      <c r="M56" s="33">
        <v>0.3783783783783784</v>
      </c>
      <c r="N56" s="33">
        <v>0.29729729729729731</v>
      </c>
      <c r="O56" s="33">
        <v>0.81081081081081097</v>
      </c>
      <c r="P56" s="33">
        <v>1.0000000000000002</v>
      </c>
      <c r="Q56" s="35"/>
    </row>
    <row r="57" spans="1:17" x14ac:dyDescent="0.3">
      <c r="A57" s="2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3"/>
    </row>
    <row r="58" spans="1:17" x14ac:dyDescent="0.3">
      <c r="A58" s="22" t="s">
        <v>38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3"/>
    </row>
    <row r="59" spans="1:17" x14ac:dyDescent="0.3">
      <c r="A59" s="21" t="s">
        <v>121</v>
      </c>
      <c r="B59" s="21">
        <v>37</v>
      </c>
      <c r="C59" s="21"/>
      <c r="D59" s="21">
        <v>29</v>
      </c>
      <c r="E59" s="21">
        <v>7</v>
      </c>
      <c r="F59" s="21">
        <v>1</v>
      </c>
      <c r="G59" s="23">
        <v>37</v>
      </c>
      <c r="H59" s="23">
        <v>74</v>
      </c>
      <c r="I59" s="21"/>
      <c r="J59" s="21">
        <v>26</v>
      </c>
      <c r="K59" s="21"/>
      <c r="L59" s="21">
        <v>11</v>
      </c>
      <c r="M59" s="21">
        <v>17</v>
      </c>
      <c r="N59" s="21">
        <v>12</v>
      </c>
      <c r="O59" s="23">
        <v>40</v>
      </c>
      <c r="P59" s="23">
        <v>66</v>
      </c>
      <c r="Q59" s="23">
        <v>140</v>
      </c>
    </row>
    <row r="60" spans="1:17" x14ac:dyDescent="0.3">
      <c r="A60" s="21" t="s">
        <v>231</v>
      </c>
      <c r="B60" s="21">
        <v>14</v>
      </c>
      <c r="C60" s="21"/>
      <c r="D60" s="21">
        <v>17</v>
      </c>
      <c r="E60" s="21">
        <v>1</v>
      </c>
      <c r="F60" s="21">
        <v>2</v>
      </c>
      <c r="G60" s="23">
        <v>20</v>
      </c>
      <c r="H60" s="23">
        <v>34</v>
      </c>
      <c r="I60" s="21"/>
      <c r="J60" s="21">
        <v>0</v>
      </c>
      <c r="K60" s="21"/>
      <c r="L60" s="21">
        <v>0</v>
      </c>
      <c r="M60" s="21">
        <v>0</v>
      </c>
      <c r="N60" s="21">
        <v>0</v>
      </c>
      <c r="O60" s="23">
        <v>0</v>
      </c>
      <c r="P60" s="23">
        <v>0</v>
      </c>
      <c r="Q60" s="23">
        <v>34</v>
      </c>
    </row>
    <row r="61" spans="1:17" x14ac:dyDescent="0.3">
      <c r="A61" s="31" t="s">
        <v>17</v>
      </c>
      <c r="B61" s="23">
        <v>51</v>
      </c>
      <c r="C61" s="23"/>
      <c r="D61" s="23">
        <v>46</v>
      </c>
      <c r="E61" s="23">
        <v>8</v>
      </c>
      <c r="F61" s="23">
        <v>3</v>
      </c>
      <c r="G61" s="23">
        <v>57</v>
      </c>
      <c r="H61" s="23">
        <v>108</v>
      </c>
      <c r="I61" s="21"/>
      <c r="J61" s="23">
        <v>26</v>
      </c>
      <c r="K61" s="23"/>
      <c r="L61" s="23">
        <v>11</v>
      </c>
      <c r="M61" s="23">
        <v>17</v>
      </c>
      <c r="N61" s="23">
        <v>12</v>
      </c>
      <c r="O61" s="23">
        <v>40</v>
      </c>
      <c r="P61" s="23">
        <v>66</v>
      </c>
      <c r="Q61" s="23">
        <v>174</v>
      </c>
    </row>
    <row r="62" spans="1:17" x14ac:dyDescent="0.3">
      <c r="A62" s="32" t="s">
        <v>119</v>
      </c>
      <c r="B62" s="33">
        <v>0.47222222222222221</v>
      </c>
      <c r="C62" s="33"/>
      <c r="D62" s="33">
        <v>0.42592592592592593</v>
      </c>
      <c r="E62" s="33">
        <v>7.407407407407407E-2</v>
      </c>
      <c r="F62" s="33">
        <v>2.7777777777777776E-2</v>
      </c>
      <c r="G62" s="33">
        <v>0.52777777777777779</v>
      </c>
      <c r="H62" s="33">
        <v>1</v>
      </c>
      <c r="I62" s="34"/>
      <c r="J62" s="33">
        <v>0.39393939393939392</v>
      </c>
      <c r="K62" s="33"/>
      <c r="L62" s="33">
        <v>0.16666666666666666</v>
      </c>
      <c r="M62" s="33">
        <v>0.25757575757575757</v>
      </c>
      <c r="N62" s="33">
        <v>0.18181818181818182</v>
      </c>
      <c r="O62" s="33">
        <v>0.60606060606060597</v>
      </c>
      <c r="P62" s="33">
        <v>0.99999999999999989</v>
      </c>
      <c r="Q62" s="35"/>
    </row>
    <row r="63" spans="1:17" x14ac:dyDescent="0.3">
      <c r="A63" s="2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3"/>
    </row>
    <row r="64" spans="1:17" x14ac:dyDescent="0.3">
      <c r="A64" s="23" t="s">
        <v>39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3"/>
    </row>
    <row r="65" spans="1:17" x14ac:dyDescent="0.3">
      <c r="A65" s="38" t="s">
        <v>40</v>
      </c>
      <c r="B65" s="57">
        <f>SUM(B66:B70)</f>
        <v>14</v>
      </c>
      <c r="C65" s="58"/>
      <c r="D65" s="57">
        <f>SUM(D66:D70)</f>
        <v>3</v>
      </c>
      <c r="E65" s="57">
        <f t="shared" ref="E65:H65" si="0">SUM(E66:E70)</f>
        <v>4</v>
      </c>
      <c r="F65" s="57">
        <f t="shared" si="0"/>
        <v>6</v>
      </c>
      <c r="G65" s="57">
        <f t="shared" si="0"/>
        <v>13</v>
      </c>
      <c r="H65" s="57">
        <f t="shared" si="0"/>
        <v>27</v>
      </c>
      <c r="I65" s="24"/>
      <c r="J65" s="24"/>
      <c r="K65" s="24"/>
      <c r="L65" s="24"/>
      <c r="M65" s="24"/>
      <c r="N65" s="24"/>
      <c r="O65" s="24"/>
      <c r="P65" s="24"/>
      <c r="Q65" s="23"/>
    </row>
    <row r="66" spans="1:17" x14ac:dyDescent="0.3">
      <c r="A66" s="38" t="s">
        <v>189</v>
      </c>
      <c r="B66" s="21">
        <v>6</v>
      </c>
      <c r="C66" s="21"/>
      <c r="D66" s="21">
        <v>1</v>
      </c>
      <c r="E66" s="21">
        <v>1</v>
      </c>
      <c r="F66" s="21">
        <v>4</v>
      </c>
      <c r="G66" s="23">
        <v>6</v>
      </c>
      <c r="H66" s="23">
        <v>12</v>
      </c>
      <c r="I66" s="21"/>
      <c r="J66" s="21">
        <v>14</v>
      </c>
      <c r="K66" s="21"/>
      <c r="L66" s="21">
        <v>8</v>
      </c>
      <c r="M66" s="21">
        <v>20</v>
      </c>
      <c r="N66" s="21">
        <v>21</v>
      </c>
      <c r="O66" s="23">
        <v>49</v>
      </c>
      <c r="P66" s="23">
        <v>63</v>
      </c>
      <c r="Q66" s="23">
        <v>75</v>
      </c>
    </row>
    <row r="67" spans="1:17" x14ac:dyDescent="0.3">
      <c r="A67" s="39" t="s">
        <v>122</v>
      </c>
      <c r="B67" s="21">
        <v>0</v>
      </c>
      <c r="C67" s="21"/>
      <c r="D67" s="21">
        <v>0</v>
      </c>
      <c r="E67" s="21">
        <v>0</v>
      </c>
      <c r="F67" s="21">
        <v>0</v>
      </c>
      <c r="G67" s="23">
        <v>0</v>
      </c>
      <c r="H67" s="23">
        <v>0</v>
      </c>
      <c r="I67" s="21"/>
      <c r="J67" s="21">
        <v>0</v>
      </c>
      <c r="K67" s="21"/>
      <c r="L67" s="21">
        <v>0</v>
      </c>
      <c r="M67" s="21">
        <v>0</v>
      </c>
      <c r="N67" s="21">
        <v>0</v>
      </c>
      <c r="O67" s="23">
        <v>0</v>
      </c>
      <c r="P67" s="23">
        <v>0</v>
      </c>
      <c r="Q67" s="23">
        <v>0</v>
      </c>
    </row>
    <row r="68" spans="1:17" x14ac:dyDescent="0.3">
      <c r="A68" s="39" t="s">
        <v>123</v>
      </c>
      <c r="B68" s="21">
        <v>0</v>
      </c>
      <c r="C68" s="21"/>
      <c r="D68" s="21">
        <v>0</v>
      </c>
      <c r="E68" s="21">
        <v>0</v>
      </c>
      <c r="F68" s="21">
        <v>0</v>
      </c>
      <c r="G68" s="23">
        <v>0</v>
      </c>
      <c r="H68" s="23">
        <v>0</v>
      </c>
      <c r="I68" s="21"/>
      <c r="J68" s="21">
        <v>0</v>
      </c>
      <c r="K68" s="21"/>
      <c r="L68" s="21">
        <v>0</v>
      </c>
      <c r="M68" s="21">
        <v>0</v>
      </c>
      <c r="N68" s="21">
        <v>0</v>
      </c>
      <c r="O68" s="23">
        <v>0</v>
      </c>
      <c r="P68" s="23">
        <v>0</v>
      </c>
      <c r="Q68" s="23">
        <v>0</v>
      </c>
    </row>
    <row r="69" spans="1:17" x14ac:dyDescent="0.3">
      <c r="A69" s="39" t="s">
        <v>124</v>
      </c>
      <c r="B69" s="21">
        <v>1</v>
      </c>
      <c r="C69" s="21"/>
      <c r="D69" s="21">
        <v>0</v>
      </c>
      <c r="E69" s="21">
        <v>0</v>
      </c>
      <c r="F69" s="21">
        <v>0</v>
      </c>
      <c r="G69" s="23">
        <v>0</v>
      </c>
      <c r="H69" s="23">
        <v>1</v>
      </c>
      <c r="I69" s="21"/>
      <c r="J69" s="21">
        <v>4</v>
      </c>
      <c r="K69" s="21"/>
      <c r="L69" s="21">
        <v>5</v>
      </c>
      <c r="M69" s="21">
        <v>3</v>
      </c>
      <c r="N69" s="21">
        <v>6</v>
      </c>
      <c r="O69" s="23">
        <v>14</v>
      </c>
      <c r="P69" s="23">
        <v>18</v>
      </c>
      <c r="Q69" s="23">
        <v>19</v>
      </c>
    </row>
    <row r="70" spans="1:17" x14ac:dyDescent="0.3">
      <c r="A70" s="39" t="s">
        <v>125</v>
      </c>
      <c r="B70" s="21">
        <v>7</v>
      </c>
      <c r="C70" s="21"/>
      <c r="D70" s="21">
        <v>2</v>
      </c>
      <c r="E70" s="21">
        <v>3</v>
      </c>
      <c r="F70" s="21">
        <v>2</v>
      </c>
      <c r="G70" s="23">
        <v>7</v>
      </c>
      <c r="H70" s="23">
        <v>14</v>
      </c>
      <c r="I70" s="21"/>
      <c r="J70" s="21">
        <v>3</v>
      </c>
      <c r="K70" s="21"/>
      <c r="L70" s="21">
        <v>1</v>
      </c>
      <c r="M70" s="21">
        <v>0</v>
      </c>
      <c r="N70" s="21">
        <v>5</v>
      </c>
      <c r="O70" s="23">
        <v>6</v>
      </c>
      <c r="P70" s="23">
        <v>9</v>
      </c>
      <c r="Q70" s="23">
        <v>23</v>
      </c>
    </row>
    <row r="71" spans="1:17" x14ac:dyDescent="0.3">
      <c r="A71" s="21" t="s">
        <v>41</v>
      </c>
      <c r="B71" s="21">
        <f>SUM(B72:B79)</f>
        <v>16</v>
      </c>
      <c r="C71" s="21"/>
      <c r="D71" s="21">
        <f t="shared" ref="D71:H71" si="1">SUM(D72:D79)</f>
        <v>14</v>
      </c>
      <c r="E71" s="21">
        <f t="shared" si="1"/>
        <v>16</v>
      </c>
      <c r="F71" s="21">
        <f t="shared" si="1"/>
        <v>12</v>
      </c>
      <c r="G71" s="21">
        <f t="shared" si="1"/>
        <v>42</v>
      </c>
      <c r="H71" s="21">
        <f t="shared" si="1"/>
        <v>58</v>
      </c>
      <c r="I71" s="21"/>
      <c r="J71" s="21"/>
      <c r="K71" s="21"/>
      <c r="L71" s="21"/>
      <c r="M71" s="21"/>
      <c r="N71" s="21"/>
      <c r="O71" s="23"/>
      <c r="P71" s="23"/>
      <c r="Q71" s="23"/>
    </row>
    <row r="72" spans="1:17" x14ac:dyDescent="0.3">
      <c r="A72" s="21" t="s">
        <v>190</v>
      </c>
      <c r="B72" s="21">
        <f>SUM(B73:B79)</f>
        <v>8</v>
      </c>
      <c r="C72" s="21"/>
      <c r="D72" s="21">
        <f>SUM(D73:D79)</f>
        <v>7</v>
      </c>
      <c r="E72" s="21">
        <f>SUM(E73:E79)</f>
        <v>8</v>
      </c>
      <c r="F72" s="21">
        <f t="shared" ref="F72:H72" si="2">SUM(F73:F79)</f>
        <v>6</v>
      </c>
      <c r="G72" s="21">
        <f t="shared" si="2"/>
        <v>21</v>
      </c>
      <c r="H72" s="21">
        <f t="shared" si="2"/>
        <v>29</v>
      </c>
      <c r="I72" s="21"/>
      <c r="J72" s="21">
        <v>19</v>
      </c>
      <c r="K72" s="21"/>
      <c r="L72" s="21">
        <v>0</v>
      </c>
      <c r="M72" s="21">
        <v>0</v>
      </c>
      <c r="N72" s="21">
        <v>0</v>
      </c>
      <c r="O72" s="23">
        <v>0</v>
      </c>
      <c r="P72" s="23">
        <v>19</v>
      </c>
      <c r="Q72" s="23">
        <v>20</v>
      </c>
    </row>
    <row r="73" spans="1:17" x14ac:dyDescent="0.3">
      <c r="A73" s="39" t="s">
        <v>126</v>
      </c>
      <c r="B73" s="21">
        <v>0</v>
      </c>
      <c r="C73" s="21"/>
      <c r="D73" s="21">
        <v>1</v>
      </c>
      <c r="E73" s="21">
        <v>2</v>
      </c>
      <c r="F73" s="21">
        <v>1</v>
      </c>
      <c r="G73" s="23">
        <v>4</v>
      </c>
      <c r="H73" s="23">
        <v>4</v>
      </c>
      <c r="I73" s="21"/>
      <c r="J73" s="21">
        <v>2</v>
      </c>
      <c r="K73" s="21"/>
      <c r="L73" s="21">
        <v>2</v>
      </c>
      <c r="M73" s="21">
        <v>6</v>
      </c>
      <c r="N73" s="21">
        <v>6</v>
      </c>
      <c r="O73" s="23">
        <v>14</v>
      </c>
      <c r="P73" s="23">
        <v>16</v>
      </c>
      <c r="Q73" s="23">
        <v>20</v>
      </c>
    </row>
    <row r="74" spans="1:17" x14ac:dyDescent="0.3">
      <c r="A74" s="39" t="s">
        <v>127</v>
      </c>
      <c r="B74" s="21">
        <v>0</v>
      </c>
      <c r="C74" s="21"/>
      <c r="D74" s="21">
        <v>0</v>
      </c>
      <c r="E74" s="21">
        <v>0</v>
      </c>
      <c r="F74" s="21">
        <v>0</v>
      </c>
      <c r="G74" s="23">
        <v>0</v>
      </c>
      <c r="H74" s="23">
        <v>0</v>
      </c>
      <c r="I74" s="21"/>
      <c r="J74" s="21">
        <v>0</v>
      </c>
      <c r="K74" s="21"/>
      <c r="L74" s="21">
        <v>0</v>
      </c>
      <c r="M74" s="21">
        <v>0</v>
      </c>
      <c r="N74" s="21">
        <v>0</v>
      </c>
      <c r="O74" s="23">
        <v>0</v>
      </c>
      <c r="P74" s="23">
        <v>0</v>
      </c>
      <c r="Q74" s="23">
        <v>0</v>
      </c>
    </row>
    <row r="75" spans="1:17" x14ac:dyDescent="0.3">
      <c r="A75" s="39" t="s">
        <v>186</v>
      </c>
      <c r="B75" s="21">
        <v>1</v>
      </c>
      <c r="C75" s="21"/>
      <c r="D75" s="21">
        <v>2</v>
      </c>
      <c r="E75" s="21">
        <v>4</v>
      </c>
      <c r="F75" s="21">
        <v>3</v>
      </c>
      <c r="G75" s="23">
        <v>9</v>
      </c>
      <c r="H75" s="23">
        <v>10</v>
      </c>
      <c r="I75" s="21"/>
      <c r="J75" s="21">
        <v>8</v>
      </c>
      <c r="K75" s="21"/>
      <c r="L75" s="21">
        <v>7</v>
      </c>
      <c r="M75" s="21">
        <v>7</v>
      </c>
      <c r="N75" s="21">
        <v>5</v>
      </c>
      <c r="O75" s="23">
        <v>19</v>
      </c>
      <c r="P75" s="23">
        <v>27</v>
      </c>
      <c r="Q75" s="23">
        <v>37</v>
      </c>
    </row>
    <row r="76" spans="1:17" x14ac:dyDescent="0.3">
      <c r="A76" s="39" t="s">
        <v>128</v>
      </c>
      <c r="B76" s="21">
        <v>2</v>
      </c>
      <c r="C76" s="21"/>
      <c r="D76" s="21">
        <v>3</v>
      </c>
      <c r="E76" s="21">
        <v>1</v>
      </c>
      <c r="F76" s="21">
        <v>0</v>
      </c>
      <c r="G76" s="23">
        <v>4</v>
      </c>
      <c r="H76" s="23">
        <v>6</v>
      </c>
      <c r="I76" s="21"/>
      <c r="J76" s="21">
        <v>3</v>
      </c>
      <c r="K76" s="21"/>
      <c r="L76" s="21">
        <v>3</v>
      </c>
      <c r="M76" s="21">
        <v>1</v>
      </c>
      <c r="N76" s="21">
        <v>1</v>
      </c>
      <c r="O76" s="23">
        <v>5</v>
      </c>
      <c r="P76" s="23">
        <v>8</v>
      </c>
      <c r="Q76" s="23">
        <v>14</v>
      </c>
    </row>
    <row r="77" spans="1:17" x14ac:dyDescent="0.3">
      <c r="A77" s="39" t="s">
        <v>129</v>
      </c>
      <c r="B77" s="21">
        <v>2</v>
      </c>
      <c r="C77" s="21"/>
      <c r="D77" s="21">
        <v>0</v>
      </c>
      <c r="E77" s="21">
        <v>0</v>
      </c>
      <c r="F77" s="21">
        <v>2</v>
      </c>
      <c r="G77" s="23">
        <v>2</v>
      </c>
      <c r="H77" s="23">
        <v>4</v>
      </c>
      <c r="I77" s="21"/>
      <c r="J77" s="21">
        <v>12</v>
      </c>
      <c r="K77" s="21"/>
      <c r="L77" s="21">
        <v>12</v>
      </c>
      <c r="M77" s="21">
        <v>26</v>
      </c>
      <c r="N77" s="21">
        <v>24</v>
      </c>
      <c r="O77" s="23">
        <v>62</v>
      </c>
      <c r="P77" s="23">
        <v>74</v>
      </c>
      <c r="Q77" s="23">
        <v>78</v>
      </c>
    </row>
    <row r="78" spans="1:17" ht="16.2" x14ac:dyDescent="0.3">
      <c r="A78" s="39" t="s">
        <v>164</v>
      </c>
      <c r="B78" s="21">
        <v>3</v>
      </c>
      <c r="C78" s="21"/>
      <c r="D78" s="21">
        <v>1</v>
      </c>
      <c r="E78" s="21">
        <v>0</v>
      </c>
      <c r="F78" s="21">
        <v>0</v>
      </c>
      <c r="G78" s="23">
        <v>1</v>
      </c>
      <c r="H78" s="23">
        <v>4</v>
      </c>
      <c r="I78" s="21"/>
      <c r="J78" s="21">
        <v>5</v>
      </c>
      <c r="K78" s="21"/>
      <c r="L78" s="21">
        <v>6</v>
      </c>
      <c r="M78" s="21">
        <v>4</v>
      </c>
      <c r="N78" s="21">
        <v>5</v>
      </c>
      <c r="O78" s="23">
        <v>15</v>
      </c>
      <c r="P78" s="23">
        <v>20</v>
      </c>
      <c r="Q78" s="23">
        <v>24</v>
      </c>
    </row>
    <row r="79" spans="1:17" x14ac:dyDescent="0.3">
      <c r="A79" s="39" t="s">
        <v>130</v>
      </c>
      <c r="B79" s="21">
        <v>0</v>
      </c>
      <c r="C79" s="21"/>
      <c r="D79" s="21">
        <v>0</v>
      </c>
      <c r="E79" s="21">
        <v>1</v>
      </c>
      <c r="F79" s="21">
        <v>0</v>
      </c>
      <c r="G79" s="23">
        <v>1</v>
      </c>
      <c r="H79" s="23">
        <v>1</v>
      </c>
      <c r="I79" s="21"/>
      <c r="J79" s="21">
        <v>0</v>
      </c>
      <c r="K79" s="21"/>
      <c r="L79" s="21">
        <v>0</v>
      </c>
      <c r="M79" s="21">
        <v>2</v>
      </c>
      <c r="N79" s="21">
        <v>7</v>
      </c>
      <c r="O79" s="23">
        <v>9</v>
      </c>
      <c r="P79" s="23">
        <v>9</v>
      </c>
      <c r="Q79" s="23">
        <v>10</v>
      </c>
    </row>
    <row r="80" spans="1:17" x14ac:dyDescent="0.3">
      <c r="A80" s="31" t="s">
        <v>17</v>
      </c>
      <c r="B80" s="23">
        <v>22</v>
      </c>
      <c r="C80" s="23"/>
      <c r="D80" s="23">
        <v>10</v>
      </c>
      <c r="E80" s="23">
        <v>13</v>
      </c>
      <c r="F80" s="23">
        <v>12</v>
      </c>
      <c r="G80" s="23">
        <v>35</v>
      </c>
      <c r="H80" s="23">
        <v>57</v>
      </c>
      <c r="I80" s="21"/>
      <c r="J80" s="23">
        <v>70</v>
      </c>
      <c r="K80" s="23"/>
      <c r="L80" s="23">
        <v>44</v>
      </c>
      <c r="M80" s="23">
        <v>69</v>
      </c>
      <c r="N80" s="23">
        <v>80</v>
      </c>
      <c r="O80" s="23">
        <v>193</v>
      </c>
      <c r="P80" s="23">
        <v>263</v>
      </c>
      <c r="Q80" s="23">
        <v>320</v>
      </c>
    </row>
    <row r="81" spans="1:17" x14ac:dyDescent="0.3">
      <c r="A81" s="32" t="s">
        <v>119</v>
      </c>
      <c r="B81" s="33">
        <v>0.38596491228070173</v>
      </c>
      <c r="C81" s="33"/>
      <c r="D81" s="33">
        <v>0.17543859649122806</v>
      </c>
      <c r="E81" s="33">
        <v>0.22807017543859648</v>
      </c>
      <c r="F81" s="33">
        <v>0.21052631578947367</v>
      </c>
      <c r="G81" s="33">
        <v>0.61403508771929816</v>
      </c>
      <c r="H81" s="33">
        <v>0.99999999999999989</v>
      </c>
      <c r="I81" s="34"/>
      <c r="J81" s="33">
        <v>0.26615969581749049</v>
      </c>
      <c r="K81" s="33"/>
      <c r="L81" s="33">
        <v>0.16730038022813687</v>
      </c>
      <c r="M81" s="33">
        <v>0.26235741444866922</v>
      </c>
      <c r="N81" s="33">
        <v>0.30418250950570341</v>
      </c>
      <c r="O81" s="33">
        <v>0.73384030418250945</v>
      </c>
      <c r="P81" s="33">
        <v>1</v>
      </c>
      <c r="Q81" s="35"/>
    </row>
    <row r="82" spans="1:17" x14ac:dyDescent="0.3">
      <c r="A82" s="22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3"/>
    </row>
    <row r="83" spans="1:17" x14ac:dyDescent="0.3">
      <c r="A83" s="23" t="s">
        <v>42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</row>
    <row r="84" spans="1:17" x14ac:dyDescent="0.3">
      <c r="A84" s="21" t="s">
        <v>43</v>
      </c>
      <c r="B84" s="21">
        <v>28</v>
      </c>
      <c r="C84" s="21"/>
      <c r="D84" s="21">
        <v>19</v>
      </c>
      <c r="E84" s="21">
        <v>15</v>
      </c>
      <c r="F84" s="21">
        <v>6</v>
      </c>
      <c r="G84" s="23">
        <v>40</v>
      </c>
      <c r="H84" s="23">
        <v>68</v>
      </c>
      <c r="I84" s="21"/>
      <c r="J84" s="21">
        <v>1</v>
      </c>
      <c r="K84" s="21"/>
      <c r="L84" s="21">
        <v>2</v>
      </c>
      <c r="M84" s="21">
        <v>2</v>
      </c>
      <c r="N84" s="21">
        <v>7</v>
      </c>
      <c r="O84" s="23">
        <v>11</v>
      </c>
      <c r="P84" s="23">
        <v>12</v>
      </c>
      <c r="Q84" s="23">
        <v>80</v>
      </c>
    </row>
    <row r="85" spans="1:17" x14ac:dyDescent="0.3">
      <c r="A85" s="21" t="s">
        <v>44</v>
      </c>
      <c r="B85" s="21">
        <v>20</v>
      </c>
      <c r="C85" s="21"/>
      <c r="D85" s="21">
        <v>28</v>
      </c>
      <c r="E85" s="21">
        <v>16</v>
      </c>
      <c r="F85" s="21">
        <v>9</v>
      </c>
      <c r="G85" s="23">
        <v>53</v>
      </c>
      <c r="H85" s="23">
        <v>73</v>
      </c>
      <c r="I85" s="21"/>
      <c r="J85" s="21">
        <v>1</v>
      </c>
      <c r="K85" s="21"/>
      <c r="L85" s="21">
        <v>1</v>
      </c>
      <c r="M85" s="21">
        <v>0</v>
      </c>
      <c r="N85" s="21">
        <v>6</v>
      </c>
      <c r="O85" s="23">
        <v>7</v>
      </c>
      <c r="P85" s="23">
        <v>8</v>
      </c>
      <c r="Q85" s="23">
        <v>81</v>
      </c>
    </row>
    <row r="86" spans="1:17" x14ac:dyDescent="0.3">
      <c r="A86" s="40" t="s">
        <v>91</v>
      </c>
      <c r="B86" s="21">
        <v>24</v>
      </c>
      <c r="C86" s="21"/>
      <c r="D86" s="21">
        <v>27</v>
      </c>
      <c r="E86" s="21">
        <v>15</v>
      </c>
      <c r="F86" s="21">
        <v>5</v>
      </c>
      <c r="G86" s="23">
        <v>47</v>
      </c>
      <c r="H86" s="23">
        <v>71</v>
      </c>
      <c r="I86" s="21"/>
      <c r="J86" s="21">
        <v>1</v>
      </c>
      <c r="K86" s="21"/>
      <c r="L86" s="21">
        <v>1</v>
      </c>
      <c r="M86" s="21">
        <v>0</v>
      </c>
      <c r="N86" s="21">
        <v>1</v>
      </c>
      <c r="O86" s="23">
        <v>2</v>
      </c>
      <c r="P86" s="23">
        <v>3</v>
      </c>
      <c r="Q86" s="23">
        <v>74</v>
      </c>
    </row>
    <row r="87" spans="1:17" x14ac:dyDescent="0.3">
      <c r="A87" s="31" t="s">
        <v>17</v>
      </c>
      <c r="B87" s="23">
        <v>72</v>
      </c>
      <c r="C87" s="23"/>
      <c r="D87" s="23">
        <v>74</v>
      </c>
      <c r="E87" s="23">
        <v>46</v>
      </c>
      <c r="F87" s="23">
        <v>20</v>
      </c>
      <c r="G87" s="23">
        <v>140</v>
      </c>
      <c r="H87" s="23">
        <v>212</v>
      </c>
      <c r="I87" s="21"/>
      <c r="J87" s="23">
        <v>3</v>
      </c>
      <c r="K87" s="23"/>
      <c r="L87" s="23">
        <v>4</v>
      </c>
      <c r="M87" s="23">
        <v>2</v>
      </c>
      <c r="N87" s="23">
        <v>14</v>
      </c>
      <c r="O87" s="23">
        <v>20</v>
      </c>
      <c r="P87" s="23">
        <v>23</v>
      </c>
      <c r="Q87" s="23">
        <v>235</v>
      </c>
    </row>
    <row r="88" spans="1:17" x14ac:dyDescent="0.3">
      <c r="A88" s="32" t="s">
        <v>119</v>
      </c>
      <c r="B88" s="33">
        <v>0.33962264150943394</v>
      </c>
      <c r="C88" s="33"/>
      <c r="D88" s="33">
        <v>0.34905660377358488</v>
      </c>
      <c r="E88" s="33">
        <v>0.21698113207547171</v>
      </c>
      <c r="F88" s="33">
        <v>9.4339622641509441E-2</v>
      </c>
      <c r="G88" s="33">
        <v>0.660377358490566</v>
      </c>
      <c r="H88" s="33">
        <v>1</v>
      </c>
      <c r="I88" s="34"/>
      <c r="J88" s="33">
        <v>0.13043478260869565</v>
      </c>
      <c r="K88" s="33"/>
      <c r="L88" s="33">
        <v>0.17391304347826086</v>
      </c>
      <c r="M88" s="33">
        <v>8.6956521739130432E-2</v>
      </c>
      <c r="N88" s="33">
        <v>0.60869565217391308</v>
      </c>
      <c r="O88" s="33">
        <v>0.86956521739130443</v>
      </c>
      <c r="P88" s="33">
        <v>1</v>
      </c>
      <c r="Q88" s="35"/>
    </row>
    <row r="89" spans="1:17" x14ac:dyDescent="0.3">
      <c r="A89" s="22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3"/>
    </row>
    <row r="90" spans="1:17" x14ac:dyDescent="0.3">
      <c r="A90" s="22" t="s">
        <v>131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3"/>
      <c r="P90" s="23"/>
      <c r="Q90" s="23"/>
    </row>
    <row r="91" spans="1:17" x14ac:dyDescent="0.3">
      <c r="A91" s="41" t="s">
        <v>47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3"/>
    </row>
    <row r="92" spans="1:17" x14ac:dyDescent="0.3">
      <c r="A92" s="21" t="s">
        <v>46</v>
      </c>
      <c r="B92" s="21">
        <v>16</v>
      </c>
      <c r="C92" s="21"/>
      <c r="D92" s="21">
        <v>12</v>
      </c>
      <c r="E92" s="21">
        <v>8</v>
      </c>
      <c r="F92" s="21">
        <v>5</v>
      </c>
      <c r="G92" s="23">
        <v>25</v>
      </c>
      <c r="H92" s="23">
        <v>41</v>
      </c>
      <c r="I92" s="21"/>
      <c r="J92" s="21">
        <v>0</v>
      </c>
      <c r="K92" s="21"/>
      <c r="L92" s="21">
        <v>1</v>
      </c>
      <c r="M92" s="21">
        <v>1</v>
      </c>
      <c r="N92" s="21">
        <v>1</v>
      </c>
      <c r="O92" s="23">
        <v>3</v>
      </c>
      <c r="P92" s="23">
        <v>3</v>
      </c>
      <c r="Q92" s="23">
        <v>44</v>
      </c>
    </row>
    <row r="93" spans="1:17" x14ac:dyDescent="0.3">
      <c r="A93" s="21" t="s">
        <v>90</v>
      </c>
      <c r="B93" s="21">
        <v>0</v>
      </c>
      <c r="C93" s="21"/>
      <c r="D93" s="21">
        <v>0</v>
      </c>
      <c r="E93" s="21">
        <v>1</v>
      </c>
      <c r="F93" s="21">
        <v>2</v>
      </c>
      <c r="G93" s="23">
        <v>3</v>
      </c>
      <c r="H93" s="23">
        <v>3</v>
      </c>
      <c r="I93" s="21"/>
      <c r="J93" s="21">
        <v>0</v>
      </c>
      <c r="K93" s="21"/>
      <c r="L93" s="21">
        <v>0</v>
      </c>
      <c r="M93" s="21">
        <v>2</v>
      </c>
      <c r="N93" s="21">
        <v>0</v>
      </c>
      <c r="O93" s="23">
        <v>2</v>
      </c>
      <c r="P93" s="23">
        <v>2</v>
      </c>
      <c r="Q93" s="23">
        <v>5</v>
      </c>
    </row>
    <row r="94" spans="1:17" x14ac:dyDescent="0.3">
      <c r="A94" s="21" t="s">
        <v>48</v>
      </c>
      <c r="B94" s="21">
        <v>5</v>
      </c>
      <c r="C94" s="21"/>
      <c r="D94" s="21">
        <v>4</v>
      </c>
      <c r="E94" s="21">
        <v>4</v>
      </c>
      <c r="F94" s="21">
        <v>4</v>
      </c>
      <c r="G94" s="23">
        <v>12</v>
      </c>
      <c r="H94" s="23">
        <v>17</v>
      </c>
      <c r="I94" s="21"/>
      <c r="J94" s="21">
        <v>0</v>
      </c>
      <c r="K94" s="21"/>
      <c r="L94" s="21">
        <v>0</v>
      </c>
      <c r="M94" s="21">
        <v>0</v>
      </c>
      <c r="N94" s="21">
        <v>1</v>
      </c>
      <c r="O94" s="23">
        <v>1</v>
      </c>
      <c r="P94" s="23">
        <v>1</v>
      </c>
      <c r="Q94" s="23">
        <v>18</v>
      </c>
    </row>
    <row r="95" spans="1:17" x14ac:dyDescent="0.3">
      <c r="A95" s="21" t="s">
        <v>49</v>
      </c>
      <c r="B95" s="21">
        <v>11</v>
      </c>
      <c r="C95" s="21"/>
      <c r="D95" s="21">
        <v>18</v>
      </c>
      <c r="E95" s="21">
        <v>16</v>
      </c>
      <c r="F95" s="21">
        <v>11</v>
      </c>
      <c r="G95" s="23">
        <v>45</v>
      </c>
      <c r="H95" s="23">
        <v>56</v>
      </c>
      <c r="I95" s="21"/>
      <c r="J95" s="21">
        <v>0</v>
      </c>
      <c r="K95" s="21"/>
      <c r="L95" s="21">
        <v>0</v>
      </c>
      <c r="M95" s="21">
        <v>1</v>
      </c>
      <c r="N95" s="21">
        <v>2</v>
      </c>
      <c r="O95" s="23">
        <v>3</v>
      </c>
      <c r="P95" s="23">
        <v>3</v>
      </c>
      <c r="Q95" s="23">
        <v>59</v>
      </c>
    </row>
    <row r="96" spans="1:17" x14ac:dyDescent="0.3">
      <c r="A96" s="31" t="s">
        <v>17</v>
      </c>
      <c r="B96" s="23">
        <v>32</v>
      </c>
      <c r="C96" s="23"/>
      <c r="D96" s="23">
        <v>34</v>
      </c>
      <c r="E96" s="23">
        <v>29</v>
      </c>
      <c r="F96" s="23">
        <v>22</v>
      </c>
      <c r="G96" s="23">
        <v>85</v>
      </c>
      <c r="H96" s="23">
        <v>117</v>
      </c>
      <c r="I96" s="21"/>
      <c r="J96" s="23">
        <v>0</v>
      </c>
      <c r="K96" s="23"/>
      <c r="L96" s="23">
        <v>1</v>
      </c>
      <c r="M96" s="23">
        <v>4</v>
      </c>
      <c r="N96" s="23">
        <v>4</v>
      </c>
      <c r="O96" s="23">
        <v>9</v>
      </c>
      <c r="P96" s="23">
        <v>9</v>
      </c>
      <c r="Q96" s="23">
        <v>126</v>
      </c>
    </row>
    <row r="97" spans="1:17" x14ac:dyDescent="0.3">
      <c r="A97" s="32" t="s">
        <v>119</v>
      </c>
      <c r="B97" s="33">
        <v>0.27350427350427353</v>
      </c>
      <c r="C97" s="33"/>
      <c r="D97" s="33">
        <v>0.29059829059829062</v>
      </c>
      <c r="E97" s="33">
        <v>0.24786324786324787</v>
      </c>
      <c r="F97" s="33">
        <v>0.18803418803418803</v>
      </c>
      <c r="G97" s="33">
        <v>0.72649572649572658</v>
      </c>
      <c r="H97" s="33">
        <v>1</v>
      </c>
      <c r="I97" s="34"/>
      <c r="J97" s="33">
        <v>0</v>
      </c>
      <c r="K97" s="33"/>
      <c r="L97" s="33">
        <v>0.1111111111111111</v>
      </c>
      <c r="M97" s="33">
        <v>0.44444444444444442</v>
      </c>
      <c r="N97" s="33">
        <v>0.44444444444444442</v>
      </c>
      <c r="O97" s="33">
        <v>1</v>
      </c>
      <c r="P97" s="33">
        <v>1</v>
      </c>
      <c r="Q97" s="35"/>
    </row>
    <row r="98" spans="1:17" x14ac:dyDescent="0.3">
      <c r="A98" s="22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3"/>
    </row>
    <row r="99" spans="1:17" x14ac:dyDescent="0.3">
      <c r="A99" s="23" t="s">
        <v>50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3"/>
    </row>
    <row r="100" spans="1:17" x14ac:dyDescent="0.3">
      <c r="A100" s="21" t="s">
        <v>52</v>
      </c>
      <c r="B100" s="21">
        <v>1</v>
      </c>
      <c r="C100" s="21"/>
      <c r="D100" s="21">
        <v>7</v>
      </c>
      <c r="E100" s="21">
        <v>2</v>
      </c>
      <c r="F100" s="21">
        <v>0</v>
      </c>
      <c r="G100" s="23">
        <v>9</v>
      </c>
      <c r="H100" s="23">
        <v>10</v>
      </c>
      <c r="I100" s="21"/>
      <c r="J100" s="21">
        <v>0</v>
      </c>
      <c r="K100" s="21"/>
      <c r="L100" s="21">
        <v>0</v>
      </c>
      <c r="M100" s="21">
        <v>0</v>
      </c>
      <c r="N100" s="21">
        <v>1</v>
      </c>
      <c r="O100" s="23">
        <v>1</v>
      </c>
      <c r="P100" s="23">
        <v>1</v>
      </c>
      <c r="Q100" s="23">
        <v>11</v>
      </c>
    </row>
    <row r="101" spans="1:17" x14ac:dyDescent="0.3">
      <c r="A101" s="21" t="s">
        <v>53</v>
      </c>
      <c r="B101" s="21">
        <v>6</v>
      </c>
      <c r="C101" s="21"/>
      <c r="D101" s="21">
        <v>4</v>
      </c>
      <c r="E101" s="21">
        <v>4</v>
      </c>
      <c r="F101" s="21">
        <v>0</v>
      </c>
      <c r="G101" s="23">
        <v>8</v>
      </c>
      <c r="H101" s="23">
        <v>14</v>
      </c>
      <c r="I101" s="21"/>
      <c r="J101" s="21">
        <v>0</v>
      </c>
      <c r="K101" s="21"/>
      <c r="L101" s="21">
        <v>0</v>
      </c>
      <c r="M101" s="21">
        <v>0</v>
      </c>
      <c r="N101" s="21">
        <v>1</v>
      </c>
      <c r="O101" s="23">
        <v>1</v>
      </c>
      <c r="P101" s="23">
        <v>1</v>
      </c>
      <c r="Q101" s="23">
        <v>15</v>
      </c>
    </row>
    <row r="102" spans="1:17" ht="16.2" x14ac:dyDescent="0.3">
      <c r="A102" s="21" t="s">
        <v>165</v>
      </c>
      <c r="B102" s="21">
        <v>0</v>
      </c>
      <c r="C102" s="21"/>
      <c r="D102" s="21">
        <v>0</v>
      </c>
      <c r="E102" s="21">
        <v>0</v>
      </c>
      <c r="F102" s="21">
        <v>0</v>
      </c>
      <c r="G102" s="23">
        <v>0</v>
      </c>
      <c r="H102" s="23">
        <v>0</v>
      </c>
      <c r="I102" s="21"/>
      <c r="J102" s="21">
        <v>0</v>
      </c>
      <c r="K102" s="21"/>
      <c r="L102" s="21">
        <v>0</v>
      </c>
      <c r="M102" s="21">
        <v>0</v>
      </c>
      <c r="N102" s="21">
        <v>0</v>
      </c>
      <c r="O102" s="23">
        <v>0</v>
      </c>
      <c r="P102" s="23">
        <v>0</v>
      </c>
      <c r="Q102" s="23">
        <v>0</v>
      </c>
    </row>
    <row r="103" spans="1:17" x14ac:dyDescent="0.3">
      <c r="A103" s="21" t="s">
        <v>92</v>
      </c>
      <c r="B103" s="21">
        <v>5</v>
      </c>
      <c r="C103" s="21"/>
      <c r="D103" s="21">
        <v>15</v>
      </c>
      <c r="E103" s="21">
        <v>6</v>
      </c>
      <c r="F103" s="21">
        <v>4</v>
      </c>
      <c r="G103" s="23">
        <v>25</v>
      </c>
      <c r="H103" s="23">
        <v>30</v>
      </c>
      <c r="I103" s="21"/>
      <c r="J103" s="21">
        <v>1</v>
      </c>
      <c r="K103" s="21"/>
      <c r="L103" s="21">
        <v>0</v>
      </c>
      <c r="M103" s="21">
        <v>1</v>
      </c>
      <c r="N103" s="21">
        <v>3</v>
      </c>
      <c r="O103" s="23">
        <v>4</v>
      </c>
      <c r="P103" s="23">
        <v>5</v>
      </c>
      <c r="Q103" s="23">
        <v>35</v>
      </c>
    </row>
    <row r="104" spans="1:17" x14ac:dyDescent="0.3">
      <c r="A104" s="31" t="s">
        <v>17</v>
      </c>
      <c r="B104" s="23">
        <v>12</v>
      </c>
      <c r="C104" s="23"/>
      <c r="D104" s="23">
        <v>26</v>
      </c>
      <c r="E104" s="23">
        <v>12</v>
      </c>
      <c r="F104" s="23">
        <v>4</v>
      </c>
      <c r="G104" s="23">
        <v>42</v>
      </c>
      <c r="H104" s="23">
        <v>54</v>
      </c>
      <c r="I104" s="21"/>
      <c r="J104" s="23">
        <v>1</v>
      </c>
      <c r="K104" s="23"/>
      <c r="L104" s="23">
        <v>0</v>
      </c>
      <c r="M104" s="23">
        <v>1</v>
      </c>
      <c r="N104" s="23">
        <v>5</v>
      </c>
      <c r="O104" s="23">
        <v>6</v>
      </c>
      <c r="P104" s="23">
        <v>7</v>
      </c>
      <c r="Q104" s="23">
        <v>61</v>
      </c>
    </row>
    <row r="105" spans="1:17" x14ac:dyDescent="0.3">
      <c r="A105" s="32" t="s">
        <v>119</v>
      </c>
      <c r="B105" s="33">
        <v>0.22222222222222221</v>
      </c>
      <c r="C105" s="33"/>
      <c r="D105" s="33">
        <v>0.48148148148148145</v>
      </c>
      <c r="E105" s="33">
        <v>0.22222222222222221</v>
      </c>
      <c r="F105" s="33">
        <v>7.407407407407407E-2</v>
      </c>
      <c r="G105" s="33">
        <v>0.77777777777777779</v>
      </c>
      <c r="H105" s="33">
        <v>1</v>
      </c>
      <c r="I105" s="34"/>
      <c r="J105" s="33">
        <v>0.14285714285714285</v>
      </c>
      <c r="K105" s="33"/>
      <c r="L105" s="33">
        <v>0</v>
      </c>
      <c r="M105" s="33">
        <v>0.14285714285714285</v>
      </c>
      <c r="N105" s="33">
        <v>0.7142857142857143</v>
      </c>
      <c r="O105" s="33">
        <v>0.85714285714285721</v>
      </c>
      <c r="P105" s="33">
        <v>1</v>
      </c>
      <c r="Q105" s="35"/>
    </row>
    <row r="106" spans="1:17" x14ac:dyDescent="0.3">
      <c r="A106" s="22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3"/>
    </row>
    <row r="107" spans="1:17" ht="16.2" x14ac:dyDescent="0.3">
      <c r="A107" s="23" t="s">
        <v>166</v>
      </c>
      <c r="B107" s="21"/>
      <c r="C107" s="21"/>
      <c r="D107" s="21"/>
      <c r="E107" s="21"/>
      <c r="F107" s="21"/>
      <c r="G107" s="23"/>
      <c r="H107" s="23"/>
      <c r="I107" s="21"/>
      <c r="J107" s="21"/>
      <c r="K107" s="21"/>
      <c r="L107" s="21"/>
      <c r="M107" s="21"/>
      <c r="N107" s="21"/>
      <c r="O107" s="23"/>
      <c r="P107" s="23"/>
      <c r="Q107" s="23"/>
    </row>
    <row r="108" spans="1:17" x14ac:dyDescent="0.3">
      <c r="A108" s="21"/>
      <c r="B108" s="21"/>
      <c r="C108" s="21"/>
      <c r="D108" s="21"/>
      <c r="E108" s="21"/>
      <c r="F108" s="21"/>
      <c r="G108" s="23"/>
      <c r="H108" s="23"/>
      <c r="I108" s="21"/>
      <c r="J108" s="21"/>
      <c r="K108" s="21"/>
      <c r="L108" s="21"/>
      <c r="M108" s="21"/>
      <c r="N108" s="21"/>
      <c r="O108" s="23"/>
      <c r="P108" s="23"/>
      <c r="Q108" s="23"/>
    </row>
    <row r="109" spans="1:17" ht="16.2" x14ac:dyDescent="0.3">
      <c r="A109" s="42" t="s">
        <v>167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3"/>
    </row>
    <row r="110" spans="1:17" x14ac:dyDescent="0.3">
      <c r="A110" s="39" t="s">
        <v>132</v>
      </c>
      <c r="B110" s="21">
        <v>1</v>
      </c>
      <c r="C110" s="21"/>
      <c r="D110" s="21">
        <v>1</v>
      </c>
      <c r="E110" s="21">
        <v>1</v>
      </c>
      <c r="F110" s="21">
        <v>2</v>
      </c>
      <c r="G110" s="23">
        <v>4</v>
      </c>
      <c r="H110" s="23">
        <v>5</v>
      </c>
      <c r="I110" s="21"/>
      <c r="J110" s="21">
        <v>0</v>
      </c>
      <c r="K110" s="21"/>
      <c r="L110" s="21">
        <v>0</v>
      </c>
      <c r="M110" s="21">
        <v>0</v>
      </c>
      <c r="N110" s="21">
        <v>0</v>
      </c>
      <c r="O110" s="23">
        <v>0</v>
      </c>
      <c r="P110" s="23">
        <v>0</v>
      </c>
      <c r="Q110" s="23">
        <v>5</v>
      </c>
    </row>
    <row r="111" spans="1:17" x14ac:dyDescent="0.3">
      <c r="A111" s="39" t="s">
        <v>54</v>
      </c>
      <c r="B111" s="21">
        <v>2</v>
      </c>
      <c r="C111" s="21"/>
      <c r="D111" s="21">
        <v>0</v>
      </c>
      <c r="E111" s="21">
        <v>1</v>
      </c>
      <c r="F111" s="21">
        <v>0</v>
      </c>
      <c r="G111" s="23">
        <v>1</v>
      </c>
      <c r="H111" s="23">
        <v>3</v>
      </c>
      <c r="I111" s="21"/>
      <c r="J111" s="21">
        <v>1</v>
      </c>
      <c r="K111" s="21"/>
      <c r="L111" s="21">
        <v>0</v>
      </c>
      <c r="M111" s="21">
        <v>0</v>
      </c>
      <c r="N111" s="21">
        <v>0</v>
      </c>
      <c r="O111" s="23">
        <v>0</v>
      </c>
      <c r="P111" s="23">
        <v>1</v>
      </c>
      <c r="Q111" s="23">
        <v>4</v>
      </c>
    </row>
    <row r="112" spans="1:17" x14ac:dyDescent="0.3">
      <c r="A112" s="39" t="s">
        <v>133</v>
      </c>
      <c r="B112" s="21">
        <v>2</v>
      </c>
      <c r="C112" s="21"/>
      <c r="D112" s="21">
        <v>2</v>
      </c>
      <c r="E112" s="21">
        <v>2</v>
      </c>
      <c r="F112" s="21">
        <v>0</v>
      </c>
      <c r="G112" s="23">
        <v>4</v>
      </c>
      <c r="H112" s="23">
        <v>6</v>
      </c>
      <c r="I112" s="21"/>
      <c r="J112" s="21">
        <v>0</v>
      </c>
      <c r="K112" s="21"/>
      <c r="L112" s="21">
        <v>0</v>
      </c>
      <c r="M112" s="21">
        <v>0</v>
      </c>
      <c r="N112" s="21">
        <v>0</v>
      </c>
      <c r="O112" s="23">
        <v>0</v>
      </c>
      <c r="P112" s="23">
        <v>0</v>
      </c>
      <c r="Q112" s="23">
        <v>6</v>
      </c>
    </row>
    <row r="113" spans="1:17" x14ac:dyDescent="0.3">
      <c r="A113" s="39" t="s">
        <v>134</v>
      </c>
      <c r="B113" s="21">
        <v>2</v>
      </c>
      <c r="C113" s="21"/>
      <c r="D113" s="21">
        <v>0</v>
      </c>
      <c r="E113" s="21">
        <v>3</v>
      </c>
      <c r="F113" s="21">
        <v>0</v>
      </c>
      <c r="G113" s="23">
        <v>3</v>
      </c>
      <c r="H113" s="23">
        <v>5</v>
      </c>
      <c r="I113" s="21"/>
      <c r="J113" s="21">
        <v>0</v>
      </c>
      <c r="K113" s="21"/>
      <c r="L113" s="21">
        <v>0</v>
      </c>
      <c r="M113" s="21">
        <v>0</v>
      </c>
      <c r="N113" s="21">
        <v>0</v>
      </c>
      <c r="O113" s="23">
        <v>0</v>
      </c>
      <c r="P113" s="23">
        <v>0</v>
      </c>
      <c r="Q113" s="23">
        <v>5</v>
      </c>
    </row>
    <row r="114" spans="1:17" x14ac:dyDescent="0.3">
      <c r="A114" s="39" t="s">
        <v>135</v>
      </c>
      <c r="B114" s="21">
        <v>3</v>
      </c>
      <c r="C114" s="21"/>
      <c r="D114" s="21">
        <v>3</v>
      </c>
      <c r="E114" s="21">
        <v>4</v>
      </c>
      <c r="F114" s="21">
        <v>0</v>
      </c>
      <c r="G114" s="23">
        <v>7</v>
      </c>
      <c r="H114" s="23">
        <v>10</v>
      </c>
      <c r="I114" s="21"/>
      <c r="J114" s="21">
        <v>0</v>
      </c>
      <c r="K114" s="21"/>
      <c r="L114" s="21">
        <v>0</v>
      </c>
      <c r="M114" s="21">
        <v>0</v>
      </c>
      <c r="N114" s="21">
        <v>0</v>
      </c>
      <c r="O114" s="23">
        <v>0</v>
      </c>
      <c r="P114" s="23">
        <v>0</v>
      </c>
      <c r="Q114" s="23">
        <v>10</v>
      </c>
    </row>
    <row r="115" spans="1:17" x14ac:dyDescent="0.3">
      <c r="A115" s="43" t="s">
        <v>17</v>
      </c>
      <c r="B115" s="23">
        <v>10</v>
      </c>
      <c r="C115" s="23"/>
      <c r="D115" s="23">
        <v>6</v>
      </c>
      <c r="E115" s="23">
        <v>11</v>
      </c>
      <c r="F115" s="23">
        <v>2</v>
      </c>
      <c r="G115" s="23">
        <v>19</v>
      </c>
      <c r="H115" s="23">
        <v>29</v>
      </c>
      <c r="I115" s="21"/>
      <c r="J115" s="23">
        <v>1</v>
      </c>
      <c r="K115" s="23"/>
      <c r="L115" s="23">
        <v>0</v>
      </c>
      <c r="M115" s="23">
        <v>0</v>
      </c>
      <c r="N115" s="23">
        <v>0</v>
      </c>
      <c r="O115" s="23">
        <v>0</v>
      </c>
      <c r="P115" s="23">
        <v>1</v>
      </c>
      <c r="Q115" s="23">
        <v>30</v>
      </c>
    </row>
    <row r="116" spans="1:17" x14ac:dyDescent="0.3">
      <c r="A116" s="44" t="s">
        <v>119</v>
      </c>
      <c r="B116" s="33">
        <v>0.34482758620689657</v>
      </c>
      <c r="C116" s="33"/>
      <c r="D116" s="33">
        <v>0.20689655172413793</v>
      </c>
      <c r="E116" s="33">
        <v>0.37931034482758619</v>
      </c>
      <c r="F116" s="33">
        <v>6.8965517241379309E-2</v>
      </c>
      <c r="G116" s="33">
        <v>0.65517241379310343</v>
      </c>
      <c r="H116" s="33">
        <v>1</v>
      </c>
      <c r="I116" s="34"/>
      <c r="J116" s="33">
        <v>1</v>
      </c>
      <c r="K116" s="33"/>
      <c r="L116" s="33">
        <v>0</v>
      </c>
      <c r="M116" s="33">
        <v>0</v>
      </c>
      <c r="N116" s="33">
        <v>0</v>
      </c>
      <c r="O116" s="33">
        <v>0</v>
      </c>
      <c r="P116" s="33">
        <v>1</v>
      </c>
      <c r="Q116" s="35"/>
    </row>
    <row r="117" spans="1:17" x14ac:dyDescent="0.3">
      <c r="A117" s="4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3"/>
    </row>
    <row r="118" spans="1:17" ht="16.2" x14ac:dyDescent="0.3">
      <c r="A118" s="42" t="s">
        <v>168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3"/>
    </row>
    <row r="119" spans="1:17" x14ac:dyDescent="0.3">
      <c r="A119" s="39" t="s">
        <v>136</v>
      </c>
      <c r="B119" s="21">
        <v>7</v>
      </c>
      <c r="C119" s="21"/>
      <c r="D119" s="21">
        <v>8</v>
      </c>
      <c r="E119" s="21">
        <v>3</v>
      </c>
      <c r="F119" s="21">
        <v>2</v>
      </c>
      <c r="G119" s="23">
        <v>13</v>
      </c>
      <c r="H119" s="23">
        <v>20</v>
      </c>
      <c r="I119" s="21"/>
      <c r="J119" s="21">
        <v>0</v>
      </c>
      <c r="K119" s="21"/>
      <c r="L119" s="21">
        <v>0</v>
      </c>
      <c r="M119" s="21">
        <v>0</v>
      </c>
      <c r="N119" s="21">
        <v>0</v>
      </c>
      <c r="O119" s="23">
        <v>0</v>
      </c>
      <c r="P119" s="23">
        <v>0</v>
      </c>
      <c r="Q119" s="23">
        <v>20</v>
      </c>
    </row>
    <row r="120" spans="1:17" x14ac:dyDescent="0.3">
      <c r="A120" s="39" t="s">
        <v>96</v>
      </c>
      <c r="B120" s="21">
        <v>17</v>
      </c>
      <c r="C120" s="21"/>
      <c r="D120" s="21">
        <v>9</v>
      </c>
      <c r="E120" s="21">
        <v>9</v>
      </c>
      <c r="F120" s="21">
        <v>8</v>
      </c>
      <c r="G120" s="23">
        <v>26</v>
      </c>
      <c r="H120" s="23">
        <v>43</v>
      </c>
      <c r="I120" s="21"/>
      <c r="J120" s="21">
        <v>1</v>
      </c>
      <c r="K120" s="21"/>
      <c r="L120" s="21">
        <v>1</v>
      </c>
      <c r="M120" s="21">
        <v>2</v>
      </c>
      <c r="N120" s="21">
        <v>3</v>
      </c>
      <c r="O120" s="23">
        <v>6</v>
      </c>
      <c r="P120" s="23">
        <v>7</v>
      </c>
      <c r="Q120" s="23">
        <v>50</v>
      </c>
    </row>
    <row r="121" spans="1:17" x14ac:dyDescent="0.3">
      <c r="A121" s="39" t="s">
        <v>63</v>
      </c>
      <c r="B121" s="21">
        <v>2</v>
      </c>
      <c r="C121" s="21"/>
      <c r="D121" s="21">
        <v>1</v>
      </c>
      <c r="E121" s="21">
        <v>3</v>
      </c>
      <c r="F121" s="21">
        <v>12</v>
      </c>
      <c r="G121" s="23">
        <v>16</v>
      </c>
      <c r="H121" s="23">
        <v>18</v>
      </c>
      <c r="I121" s="21"/>
      <c r="J121" s="21">
        <v>0</v>
      </c>
      <c r="K121" s="21"/>
      <c r="L121" s="21">
        <v>0</v>
      </c>
      <c r="M121" s="21">
        <v>0</v>
      </c>
      <c r="N121" s="21">
        <v>2</v>
      </c>
      <c r="O121" s="23">
        <v>2</v>
      </c>
      <c r="P121" s="23">
        <v>2</v>
      </c>
      <c r="Q121" s="23">
        <v>20</v>
      </c>
    </row>
    <row r="122" spans="1:17" x14ac:dyDescent="0.3">
      <c r="A122" s="39" t="s">
        <v>137</v>
      </c>
      <c r="B122" s="21">
        <v>9</v>
      </c>
      <c r="C122" s="21"/>
      <c r="D122" s="21">
        <v>2</v>
      </c>
      <c r="E122" s="21">
        <v>0</v>
      </c>
      <c r="F122" s="21">
        <v>1</v>
      </c>
      <c r="G122" s="23">
        <v>3</v>
      </c>
      <c r="H122" s="23">
        <v>12</v>
      </c>
      <c r="I122" s="21"/>
      <c r="J122" s="21">
        <v>0</v>
      </c>
      <c r="K122" s="21"/>
      <c r="L122" s="21">
        <v>0</v>
      </c>
      <c r="M122" s="21">
        <v>0</v>
      </c>
      <c r="N122" s="21">
        <v>0</v>
      </c>
      <c r="O122" s="23">
        <v>0</v>
      </c>
      <c r="P122" s="23">
        <v>0</v>
      </c>
      <c r="Q122" s="23">
        <v>12</v>
      </c>
    </row>
    <row r="123" spans="1:17" x14ac:dyDescent="0.3">
      <c r="A123" s="39" t="s">
        <v>93</v>
      </c>
      <c r="B123" s="21">
        <v>3</v>
      </c>
      <c r="C123" s="21"/>
      <c r="D123" s="21">
        <v>3</v>
      </c>
      <c r="E123" s="21">
        <v>3</v>
      </c>
      <c r="F123" s="21">
        <v>1</v>
      </c>
      <c r="G123" s="23">
        <v>7</v>
      </c>
      <c r="H123" s="23">
        <v>10</v>
      </c>
      <c r="I123" s="21"/>
      <c r="J123" s="21">
        <v>0</v>
      </c>
      <c r="K123" s="21"/>
      <c r="L123" s="21">
        <v>0</v>
      </c>
      <c r="M123" s="21">
        <v>0</v>
      </c>
      <c r="N123" s="21">
        <v>0</v>
      </c>
      <c r="O123" s="23">
        <v>0</v>
      </c>
      <c r="P123" s="23">
        <v>0</v>
      </c>
      <c r="Q123" s="23">
        <v>10</v>
      </c>
    </row>
    <row r="124" spans="1:17" x14ac:dyDescent="0.3">
      <c r="A124" s="39" t="s">
        <v>138</v>
      </c>
      <c r="B124" s="21">
        <v>11</v>
      </c>
      <c r="C124" s="21"/>
      <c r="D124" s="21">
        <v>7</v>
      </c>
      <c r="E124" s="21">
        <v>8</v>
      </c>
      <c r="F124" s="21">
        <v>2</v>
      </c>
      <c r="G124" s="23">
        <v>17</v>
      </c>
      <c r="H124" s="23">
        <v>28</v>
      </c>
      <c r="I124" s="21"/>
      <c r="J124" s="21">
        <v>0</v>
      </c>
      <c r="K124" s="21"/>
      <c r="L124" s="21">
        <v>0</v>
      </c>
      <c r="M124" s="21">
        <v>0</v>
      </c>
      <c r="N124" s="21">
        <v>0</v>
      </c>
      <c r="O124" s="23">
        <v>0</v>
      </c>
      <c r="P124" s="23">
        <v>0</v>
      </c>
      <c r="Q124" s="23">
        <v>28</v>
      </c>
    </row>
    <row r="125" spans="1:17" x14ac:dyDescent="0.3">
      <c r="A125" s="39" t="s">
        <v>97</v>
      </c>
      <c r="B125" s="21">
        <v>2</v>
      </c>
      <c r="C125" s="21"/>
      <c r="D125" s="21">
        <v>0</v>
      </c>
      <c r="E125" s="21">
        <v>2</v>
      </c>
      <c r="F125" s="21">
        <v>0</v>
      </c>
      <c r="G125" s="23">
        <v>2</v>
      </c>
      <c r="H125" s="23">
        <v>4</v>
      </c>
      <c r="I125" s="21"/>
      <c r="J125" s="21">
        <v>0</v>
      </c>
      <c r="K125" s="21"/>
      <c r="L125" s="21">
        <v>0</v>
      </c>
      <c r="M125" s="21">
        <v>0</v>
      </c>
      <c r="N125" s="21">
        <v>0</v>
      </c>
      <c r="O125" s="23">
        <v>0</v>
      </c>
      <c r="P125" s="23">
        <v>0</v>
      </c>
      <c r="Q125" s="23">
        <v>4</v>
      </c>
    </row>
    <row r="126" spans="1:17" x14ac:dyDescent="0.3">
      <c r="A126" s="39" t="s">
        <v>139</v>
      </c>
      <c r="B126" s="21">
        <v>5</v>
      </c>
      <c r="C126" s="21"/>
      <c r="D126" s="21">
        <v>3</v>
      </c>
      <c r="E126" s="21">
        <v>2</v>
      </c>
      <c r="F126" s="21">
        <v>0</v>
      </c>
      <c r="G126" s="23">
        <v>5</v>
      </c>
      <c r="H126" s="23">
        <v>10</v>
      </c>
      <c r="I126" s="21"/>
      <c r="J126" s="21">
        <v>0</v>
      </c>
      <c r="K126" s="21"/>
      <c r="L126" s="21">
        <v>0</v>
      </c>
      <c r="M126" s="21">
        <v>0</v>
      </c>
      <c r="N126" s="21">
        <v>0</v>
      </c>
      <c r="O126" s="23">
        <v>0</v>
      </c>
      <c r="P126" s="23">
        <v>0</v>
      </c>
      <c r="Q126" s="23">
        <v>10</v>
      </c>
    </row>
    <row r="127" spans="1:17" x14ac:dyDescent="0.3">
      <c r="A127" s="39" t="s">
        <v>140</v>
      </c>
      <c r="B127" s="21">
        <v>12</v>
      </c>
      <c r="C127" s="21"/>
      <c r="D127" s="21">
        <v>12</v>
      </c>
      <c r="E127" s="21">
        <v>0</v>
      </c>
      <c r="F127" s="21">
        <v>0</v>
      </c>
      <c r="G127" s="23">
        <v>12</v>
      </c>
      <c r="H127" s="23">
        <v>24</v>
      </c>
      <c r="I127" s="21"/>
      <c r="J127" s="21">
        <v>0</v>
      </c>
      <c r="K127" s="21"/>
      <c r="L127" s="21">
        <v>0</v>
      </c>
      <c r="M127" s="21">
        <v>0</v>
      </c>
      <c r="N127" s="21">
        <v>0</v>
      </c>
      <c r="O127" s="23">
        <v>0</v>
      </c>
      <c r="P127" s="23">
        <v>0</v>
      </c>
      <c r="Q127" s="23">
        <v>24</v>
      </c>
    </row>
    <row r="128" spans="1:17" x14ac:dyDescent="0.3">
      <c r="A128" s="46" t="s">
        <v>187</v>
      </c>
      <c r="B128" s="21">
        <v>7</v>
      </c>
      <c r="C128" s="21"/>
      <c r="D128" s="21">
        <v>8</v>
      </c>
      <c r="E128" s="21">
        <v>5</v>
      </c>
      <c r="F128" s="21">
        <v>5</v>
      </c>
      <c r="G128" s="23">
        <v>18</v>
      </c>
      <c r="H128" s="23">
        <v>25</v>
      </c>
      <c r="I128" s="21"/>
      <c r="J128" s="21">
        <v>0</v>
      </c>
      <c r="K128" s="21"/>
      <c r="L128" s="21">
        <v>0</v>
      </c>
      <c r="M128" s="21">
        <v>0</v>
      </c>
      <c r="N128" s="21">
        <v>0</v>
      </c>
      <c r="O128" s="23">
        <v>0</v>
      </c>
      <c r="P128" s="23">
        <v>0</v>
      </c>
      <c r="Q128" s="23">
        <v>25</v>
      </c>
    </row>
    <row r="129" spans="1:48" x14ac:dyDescent="0.3">
      <c r="A129" s="39" t="s">
        <v>141</v>
      </c>
      <c r="B129" s="21">
        <v>2</v>
      </c>
      <c r="C129" s="21"/>
      <c r="D129" s="21">
        <v>3</v>
      </c>
      <c r="E129" s="21">
        <v>2</v>
      </c>
      <c r="F129" s="21">
        <v>0</v>
      </c>
      <c r="G129" s="23">
        <v>5</v>
      </c>
      <c r="H129" s="23">
        <v>7</v>
      </c>
      <c r="I129" s="21"/>
      <c r="J129" s="21">
        <v>0</v>
      </c>
      <c r="K129" s="21"/>
      <c r="L129" s="21">
        <v>1</v>
      </c>
      <c r="M129" s="21">
        <v>0</v>
      </c>
      <c r="N129" s="21">
        <v>0</v>
      </c>
      <c r="O129" s="23">
        <v>1</v>
      </c>
      <c r="P129" s="23">
        <v>1</v>
      </c>
      <c r="Q129" s="23">
        <v>8</v>
      </c>
    </row>
    <row r="130" spans="1:48" x14ac:dyDescent="0.3">
      <c r="A130" s="43" t="s">
        <v>17</v>
      </c>
      <c r="B130" s="23">
        <v>77</v>
      </c>
      <c r="C130" s="23"/>
      <c r="D130" s="23">
        <v>56</v>
      </c>
      <c r="E130" s="23">
        <v>37</v>
      </c>
      <c r="F130" s="23">
        <v>31</v>
      </c>
      <c r="G130" s="23">
        <v>124</v>
      </c>
      <c r="H130" s="23">
        <v>201</v>
      </c>
      <c r="I130" s="21"/>
      <c r="J130" s="23">
        <v>1</v>
      </c>
      <c r="K130" s="23"/>
      <c r="L130" s="23">
        <v>2</v>
      </c>
      <c r="M130" s="23">
        <v>2</v>
      </c>
      <c r="N130" s="23">
        <v>5</v>
      </c>
      <c r="O130" s="23">
        <v>9</v>
      </c>
      <c r="P130" s="23">
        <v>10</v>
      </c>
      <c r="Q130" s="23">
        <v>211</v>
      </c>
    </row>
    <row r="131" spans="1:48" x14ac:dyDescent="0.3">
      <c r="A131" s="44" t="s">
        <v>119</v>
      </c>
      <c r="B131" s="33">
        <v>0.38308457711442784</v>
      </c>
      <c r="C131" s="33"/>
      <c r="D131" s="33">
        <v>0.27860696517412936</v>
      </c>
      <c r="E131" s="33">
        <v>0.18407960199004975</v>
      </c>
      <c r="F131" s="33">
        <v>0.15422885572139303</v>
      </c>
      <c r="G131" s="33">
        <v>0.61691542288557211</v>
      </c>
      <c r="H131" s="33">
        <v>1</v>
      </c>
      <c r="I131" s="34"/>
      <c r="J131" s="33">
        <v>0.1</v>
      </c>
      <c r="K131" s="33"/>
      <c r="L131" s="33">
        <v>0.2</v>
      </c>
      <c r="M131" s="33">
        <v>0.2</v>
      </c>
      <c r="N131" s="33">
        <v>0.5</v>
      </c>
      <c r="O131" s="33">
        <v>0.9</v>
      </c>
      <c r="P131" s="33">
        <v>1</v>
      </c>
      <c r="Q131" s="47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</row>
    <row r="132" spans="1:48" x14ac:dyDescent="0.3">
      <c r="A132" s="4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3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</row>
    <row r="133" spans="1:48" ht="16.2" x14ac:dyDescent="0.3">
      <c r="A133" s="42" t="s">
        <v>169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3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</row>
    <row r="134" spans="1:48" x14ac:dyDescent="0.3">
      <c r="A134" s="39" t="s">
        <v>55</v>
      </c>
      <c r="B134" s="21">
        <v>9</v>
      </c>
      <c r="C134" s="21"/>
      <c r="D134" s="21">
        <v>8</v>
      </c>
      <c r="E134" s="21">
        <v>5</v>
      </c>
      <c r="F134" s="21">
        <v>10</v>
      </c>
      <c r="G134" s="23">
        <v>23</v>
      </c>
      <c r="H134" s="23">
        <v>32</v>
      </c>
      <c r="I134" s="21"/>
      <c r="J134" s="21">
        <v>4</v>
      </c>
      <c r="K134" s="21"/>
      <c r="L134" s="21">
        <v>6</v>
      </c>
      <c r="M134" s="21">
        <v>4</v>
      </c>
      <c r="N134" s="21">
        <v>9</v>
      </c>
      <c r="O134" s="23">
        <v>19</v>
      </c>
      <c r="P134" s="23">
        <v>23</v>
      </c>
      <c r="Q134" s="23">
        <v>55</v>
      </c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</row>
    <row r="135" spans="1:48" x14ac:dyDescent="0.3">
      <c r="A135" s="39" t="s">
        <v>142</v>
      </c>
      <c r="B135" s="21">
        <v>16</v>
      </c>
      <c r="C135" s="21"/>
      <c r="D135" s="21">
        <v>17</v>
      </c>
      <c r="E135" s="21">
        <v>0</v>
      </c>
      <c r="F135" s="21">
        <v>0</v>
      </c>
      <c r="G135" s="23">
        <v>17</v>
      </c>
      <c r="H135" s="23">
        <v>33</v>
      </c>
      <c r="I135" s="21"/>
      <c r="J135" s="21">
        <v>0</v>
      </c>
      <c r="K135" s="21"/>
      <c r="L135" s="21">
        <v>1</v>
      </c>
      <c r="M135" s="21">
        <v>0</v>
      </c>
      <c r="N135" s="21">
        <v>0</v>
      </c>
      <c r="O135" s="23">
        <v>1</v>
      </c>
      <c r="P135" s="23">
        <v>1</v>
      </c>
      <c r="Q135" s="23">
        <v>34</v>
      </c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</row>
    <row r="136" spans="1:48" x14ac:dyDescent="0.3">
      <c r="A136" s="43" t="s">
        <v>17</v>
      </c>
      <c r="B136" s="23">
        <v>25</v>
      </c>
      <c r="C136" s="23"/>
      <c r="D136" s="23">
        <v>25</v>
      </c>
      <c r="E136" s="23">
        <v>5</v>
      </c>
      <c r="F136" s="23">
        <v>10</v>
      </c>
      <c r="G136" s="23">
        <v>40</v>
      </c>
      <c r="H136" s="23">
        <v>65</v>
      </c>
      <c r="I136" s="21"/>
      <c r="J136" s="23">
        <v>4</v>
      </c>
      <c r="K136" s="23"/>
      <c r="L136" s="23">
        <v>7</v>
      </c>
      <c r="M136" s="23">
        <v>4</v>
      </c>
      <c r="N136" s="23">
        <v>9</v>
      </c>
      <c r="O136" s="23">
        <v>20</v>
      </c>
      <c r="P136" s="23">
        <v>24</v>
      </c>
      <c r="Q136" s="23">
        <v>89</v>
      </c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</row>
    <row r="137" spans="1:48" x14ac:dyDescent="0.3">
      <c r="A137" s="44" t="s">
        <v>119</v>
      </c>
      <c r="B137" s="33">
        <v>0.38461538461538464</v>
      </c>
      <c r="C137" s="33"/>
      <c r="D137" s="33">
        <v>0.38461538461538464</v>
      </c>
      <c r="E137" s="33">
        <v>7.6923076923076927E-2</v>
      </c>
      <c r="F137" s="33">
        <v>0.15384615384615385</v>
      </c>
      <c r="G137" s="33">
        <v>0.61538461538461542</v>
      </c>
      <c r="H137" s="33">
        <v>1</v>
      </c>
      <c r="I137" s="34"/>
      <c r="J137" s="33">
        <v>0.16666666666666666</v>
      </c>
      <c r="K137" s="33"/>
      <c r="L137" s="33">
        <v>0.29166666666666669</v>
      </c>
      <c r="M137" s="33">
        <v>0.16666666666666666</v>
      </c>
      <c r="N137" s="33">
        <v>0.375</v>
      </c>
      <c r="O137" s="33">
        <v>0.83333333333333337</v>
      </c>
      <c r="P137" s="33">
        <v>1</v>
      </c>
      <c r="Q137" s="47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</row>
    <row r="138" spans="1:48" x14ac:dyDescent="0.3">
      <c r="A138" s="4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3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</row>
    <row r="139" spans="1:48" ht="16.2" x14ac:dyDescent="0.3">
      <c r="A139" s="42" t="s">
        <v>170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3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</row>
    <row r="140" spans="1:48" x14ac:dyDescent="0.3">
      <c r="A140" s="39" t="s">
        <v>56</v>
      </c>
      <c r="B140" s="21">
        <v>4</v>
      </c>
      <c r="C140" s="21"/>
      <c r="D140" s="21">
        <v>11</v>
      </c>
      <c r="E140" s="21">
        <v>1</v>
      </c>
      <c r="F140" s="21">
        <v>0</v>
      </c>
      <c r="G140" s="23">
        <v>12</v>
      </c>
      <c r="H140" s="23">
        <v>16</v>
      </c>
      <c r="I140" s="21"/>
      <c r="J140" s="21">
        <v>0</v>
      </c>
      <c r="K140" s="21"/>
      <c r="L140" s="21">
        <v>0</v>
      </c>
      <c r="M140" s="21">
        <v>0</v>
      </c>
      <c r="N140" s="21">
        <v>0</v>
      </c>
      <c r="O140" s="23">
        <v>0</v>
      </c>
      <c r="P140" s="23">
        <v>0</v>
      </c>
      <c r="Q140" s="23">
        <v>16</v>
      </c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</row>
    <row r="141" spans="1:48" x14ac:dyDescent="0.3">
      <c r="A141" s="43" t="s">
        <v>17</v>
      </c>
      <c r="B141" s="23">
        <v>4</v>
      </c>
      <c r="C141" s="23"/>
      <c r="D141" s="23">
        <v>11</v>
      </c>
      <c r="E141" s="23">
        <v>1</v>
      </c>
      <c r="F141" s="23">
        <v>0</v>
      </c>
      <c r="G141" s="23">
        <v>12</v>
      </c>
      <c r="H141" s="23">
        <v>16</v>
      </c>
      <c r="I141" s="21"/>
      <c r="J141" s="23">
        <v>0</v>
      </c>
      <c r="K141" s="23"/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16</v>
      </c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</row>
    <row r="142" spans="1:48" x14ac:dyDescent="0.3">
      <c r="A142" s="44" t="s">
        <v>119</v>
      </c>
      <c r="B142" s="33">
        <v>0.25</v>
      </c>
      <c r="C142" s="33"/>
      <c r="D142" s="33">
        <v>0.6875</v>
      </c>
      <c r="E142" s="33">
        <v>6.25E-2</v>
      </c>
      <c r="F142" s="33">
        <v>0</v>
      </c>
      <c r="G142" s="33">
        <v>0.75</v>
      </c>
      <c r="H142" s="33">
        <v>1</v>
      </c>
      <c r="I142" s="34"/>
      <c r="J142" s="33"/>
      <c r="K142" s="33"/>
      <c r="L142" s="33"/>
      <c r="M142" s="33"/>
      <c r="N142" s="33"/>
      <c r="O142" s="33"/>
      <c r="P142" s="33"/>
      <c r="Q142" s="47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</row>
    <row r="143" spans="1:48" x14ac:dyDescent="0.3">
      <c r="A143" s="4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  <row r="144" spans="1:48" ht="16.2" x14ac:dyDescent="0.3">
      <c r="A144" s="42" t="s">
        <v>171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</row>
    <row r="145" spans="1:48" x14ac:dyDescent="0.3">
      <c r="A145" s="39" t="s">
        <v>58</v>
      </c>
      <c r="B145" s="21">
        <v>5</v>
      </c>
      <c r="C145" s="21"/>
      <c r="D145" s="21">
        <v>4</v>
      </c>
      <c r="E145" s="21">
        <v>3</v>
      </c>
      <c r="F145" s="21">
        <v>1</v>
      </c>
      <c r="G145" s="23">
        <v>8</v>
      </c>
      <c r="H145" s="23">
        <v>13</v>
      </c>
      <c r="I145" s="21"/>
      <c r="J145" s="21">
        <v>0</v>
      </c>
      <c r="K145" s="21"/>
      <c r="L145" s="21">
        <v>0</v>
      </c>
      <c r="M145" s="21">
        <v>3</v>
      </c>
      <c r="N145" s="21">
        <v>2</v>
      </c>
      <c r="O145" s="23">
        <v>5</v>
      </c>
      <c r="P145" s="23">
        <v>5</v>
      </c>
      <c r="Q145" s="23">
        <v>18</v>
      </c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</row>
    <row r="146" spans="1:48" x14ac:dyDescent="0.3">
      <c r="A146" s="39" t="s">
        <v>143</v>
      </c>
      <c r="B146" s="21">
        <v>0</v>
      </c>
      <c r="C146" s="21"/>
      <c r="D146" s="21">
        <v>0</v>
      </c>
      <c r="E146" s="21">
        <v>0</v>
      </c>
      <c r="F146" s="21">
        <v>0</v>
      </c>
      <c r="G146" s="23">
        <v>0</v>
      </c>
      <c r="H146" s="23">
        <v>0</v>
      </c>
      <c r="I146" s="21"/>
      <c r="J146" s="21">
        <v>8</v>
      </c>
      <c r="K146" s="21"/>
      <c r="L146" s="21">
        <v>0</v>
      </c>
      <c r="M146" s="21">
        <v>0</v>
      </c>
      <c r="N146" s="21">
        <v>0</v>
      </c>
      <c r="O146" s="23">
        <v>0</v>
      </c>
      <c r="P146" s="23">
        <v>8</v>
      </c>
      <c r="Q146" s="23">
        <v>8</v>
      </c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</row>
    <row r="147" spans="1:48" x14ac:dyDescent="0.3">
      <c r="A147" s="39" t="s">
        <v>60</v>
      </c>
      <c r="B147" s="21">
        <v>50</v>
      </c>
      <c r="C147" s="21"/>
      <c r="D147" s="21">
        <v>48</v>
      </c>
      <c r="E147" s="21">
        <v>5</v>
      </c>
      <c r="F147" s="21">
        <v>0</v>
      </c>
      <c r="G147" s="23">
        <v>53</v>
      </c>
      <c r="H147" s="23">
        <v>103</v>
      </c>
      <c r="I147" s="21"/>
      <c r="J147" s="21">
        <v>1</v>
      </c>
      <c r="K147" s="21"/>
      <c r="L147" s="21">
        <v>0</v>
      </c>
      <c r="M147" s="21">
        <v>0</v>
      </c>
      <c r="N147" s="21">
        <v>0</v>
      </c>
      <c r="O147" s="23">
        <v>0</v>
      </c>
      <c r="P147" s="23">
        <v>1</v>
      </c>
      <c r="Q147" s="23">
        <v>104</v>
      </c>
    </row>
    <row r="148" spans="1:48" x14ac:dyDescent="0.3">
      <c r="A148" s="39" t="s">
        <v>62</v>
      </c>
      <c r="B148" s="21">
        <v>50</v>
      </c>
      <c r="C148" s="21"/>
      <c r="D148" s="21">
        <v>49</v>
      </c>
      <c r="E148" s="21">
        <v>0</v>
      </c>
      <c r="F148" s="21">
        <v>0</v>
      </c>
      <c r="G148" s="23">
        <v>49</v>
      </c>
      <c r="H148" s="23">
        <v>99</v>
      </c>
      <c r="I148" s="21"/>
      <c r="J148" s="21">
        <v>0</v>
      </c>
      <c r="K148" s="21"/>
      <c r="L148" s="21">
        <v>0</v>
      </c>
      <c r="M148" s="21">
        <v>0</v>
      </c>
      <c r="N148" s="21">
        <v>0</v>
      </c>
      <c r="O148" s="23">
        <v>0</v>
      </c>
      <c r="P148" s="23">
        <v>0</v>
      </c>
      <c r="Q148" s="23">
        <v>99</v>
      </c>
    </row>
    <row r="149" spans="1:48" x14ac:dyDescent="0.3">
      <c r="A149" s="43" t="s">
        <v>17</v>
      </c>
      <c r="B149" s="23">
        <v>105</v>
      </c>
      <c r="C149" s="23"/>
      <c r="D149" s="23">
        <v>101</v>
      </c>
      <c r="E149" s="23">
        <v>8</v>
      </c>
      <c r="F149" s="23">
        <v>1</v>
      </c>
      <c r="G149" s="23">
        <v>110</v>
      </c>
      <c r="H149" s="23">
        <v>215</v>
      </c>
      <c r="I149" s="21"/>
      <c r="J149" s="23">
        <v>9</v>
      </c>
      <c r="K149" s="23"/>
      <c r="L149" s="23">
        <v>0</v>
      </c>
      <c r="M149" s="23">
        <v>3</v>
      </c>
      <c r="N149" s="23">
        <v>2</v>
      </c>
      <c r="O149" s="23">
        <v>5</v>
      </c>
      <c r="P149" s="23">
        <v>14</v>
      </c>
      <c r="Q149" s="23">
        <v>229</v>
      </c>
    </row>
    <row r="150" spans="1:48" x14ac:dyDescent="0.3">
      <c r="A150" s="44" t="s">
        <v>119</v>
      </c>
      <c r="B150" s="33">
        <v>0.48837209302325579</v>
      </c>
      <c r="C150" s="33"/>
      <c r="D150" s="33">
        <v>0.4697674418604651</v>
      </c>
      <c r="E150" s="33">
        <v>3.7209302325581395E-2</v>
      </c>
      <c r="F150" s="33">
        <v>4.6511627906976744E-3</v>
      </c>
      <c r="G150" s="33">
        <v>0.5116279069767441</v>
      </c>
      <c r="H150" s="33">
        <v>0.99999999999999989</v>
      </c>
      <c r="I150" s="34"/>
      <c r="J150" s="33">
        <v>0.6428571428571429</v>
      </c>
      <c r="K150" s="33"/>
      <c r="L150" s="33">
        <v>0</v>
      </c>
      <c r="M150" s="33">
        <v>0.21428571428571427</v>
      </c>
      <c r="N150" s="33">
        <v>0.14285714285714285</v>
      </c>
      <c r="O150" s="33">
        <v>0.3571428571428571</v>
      </c>
      <c r="P150" s="33">
        <v>1</v>
      </c>
      <c r="Q150" s="35"/>
    </row>
    <row r="151" spans="1:48" x14ac:dyDescent="0.3">
      <c r="A151" s="21"/>
      <c r="B151" s="21"/>
      <c r="C151" s="21"/>
      <c r="D151" s="21"/>
      <c r="E151" s="21"/>
      <c r="F151" s="21"/>
      <c r="G151" s="23"/>
      <c r="H151" s="23"/>
      <c r="I151" s="21"/>
      <c r="J151" s="21"/>
      <c r="K151" s="21"/>
      <c r="L151" s="21"/>
      <c r="M151" s="21"/>
      <c r="N151" s="21"/>
      <c r="O151" s="23"/>
      <c r="P151" s="23"/>
      <c r="Q151" s="35"/>
    </row>
    <row r="152" spans="1:48" x14ac:dyDescent="0.3">
      <c r="A152" s="23" t="s">
        <v>144</v>
      </c>
      <c r="B152" s="23">
        <v>221</v>
      </c>
      <c r="C152" s="21"/>
      <c r="D152" s="23">
        <v>199</v>
      </c>
      <c r="E152" s="23">
        <v>62</v>
      </c>
      <c r="F152" s="23">
        <v>44</v>
      </c>
      <c r="G152" s="23">
        <v>305</v>
      </c>
      <c r="H152" s="23">
        <v>526</v>
      </c>
      <c r="I152" s="21"/>
      <c r="J152" s="23">
        <v>15</v>
      </c>
      <c r="K152" s="21"/>
      <c r="L152" s="23">
        <v>9</v>
      </c>
      <c r="M152" s="23">
        <v>9</v>
      </c>
      <c r="N152" s="23">
        <v>16</v>
      </c>
      <c r="O152" s="23">
        <v>34</v>
      </c>
      <c r="P152" s="23">
        <v>49</v>
      </c>
      <c r="Q152" s="23">
        <v>575</v>
      </c>
    </row>
    <row r="153" spans="1:48" x14ac:dyDescent="0.3">
      <c r="A153" s="44" t="s">
        <v>119</v>
      </c>
      <c r="B153" s="33">
        <v>0.42015209125475284</v>
      </c>
      <c r="C153" s="33"/>
      <c r="D153" s="33">
        <v>0.37832699619771865</v>
      </c>
      <c r="E153" s="33">
        <v>0.11787072243346007</v>
      </c>
      <c r="F153" s="33">
        <v>8.3650190114068435E-2</v>
      </c>
      <c r="G153" s="33">
        <v>0.57984790874524716</v>
      </c>
      <c r="H153" s="33">
        <v>1</v>
      </c>
      <c r="I153" s="34"/>
      <c r="J153" s="33">
        <v>0.30612244897959184</v>
      </c>
      <c r="K153" s="33"/>
      <c r="L153" s="33">
        <v>0.18367346938775511</v>
      </c>
      <c r="M153" s="33">
        <v>0.18367346938775511</v>
      </c>
      <c r="N153" s="33">
        <v>0.32653061224489793</v>
      </c>
      <c r="O153" s="33">
        <v>0.69387755102040816</v>
      </c>
      <c r="P153" s="33">
        <v>1</v>
      </c>
      <c r="Q153" s="35"/>
    </row>
    <row r="154" spans="1:48" x14ac:dyDescent="0.3">
      <c r="A154" s="21"/>
      <c r="B154" s="21"/>
      <c r="C154" s="21"/>
      <c r="D154" s="21"/>
      <c r="E154" s="21"/>
      <c r="F154" s="21"/>
      <c r="G154" s="23"/>
      <c r="H154" s="23"/>
      <c r="I154" s="21"/>
      <c r="J154" s="21"/>
      <c r="K154" s="21"/>
      <c r="L154" s="21"/>
      <c r="M154" s="21"/>
      <c r="N154" s="21"/>
      <c r="O154" s="23"/>
      <c r="P154" s="23"/>
      <c r="Q154" s="23"/>
    </row>
    <row r="155" spans="1:48" x14ac:dyDescent="0.3">
      <c r="A155" s="23" t="s">
        <v>65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3"/>
    </row>
    <row r="156" spans="1:48" x14ac:dyDescent="0.3">
      <c r="A156" s="21" t="s">
        <v>95</v>
      </c>
      <c r="B156" s="21">
        <v>0</v>
      </c>
      <c r="C156" s="21"/>
      <c r="D156" s="21">
        <v>0</v>
      </c>
      <c r="E156" s="21">
        <v>0</v>
      </c>
      <c r="F156" s="21">
        <v>0</v>
      </c>
      <c r="G156" s="23">
        <v>0</v>
      </c>
      <c r="H156" s="23">
        <v>0</v>
      </c>
      <c r="I156" s="21"/>
      <c r="J156" s="21">
        <v>0</v>
      </c>
      <c r="K156" s="21"/>
      <c r="L156" s="21">
        <v>0</v>
      </c>
      <c r="M156" s="21">
        <v>0</v>
      </c>
      <c r="N156" s="21">
        <v>0</v>
      </c>
      <c r="O156" s="23">
        <v>0</v>
      </c>
      <c r="P156" s="23">
        <v>0</v>
      </c>
      <c r="Q156" s="23">
        <v>0</v>
      </c>
    </row>
    <row r="157" spans="1:48" x14ac:dyDescent="0.3">
      <c r="A157" s="21" t="s">
        <v>66</v>
      </c>
      <c r="B157" s="21">
        <v>14</v>
      </c>
      <c r="C157" s="21"/>
      <c r="D157" s="21">
        <v>16</v>
      </c>
      <c r="E157" s="21">
        <v>4</v>
      </c>
      <c r="F157" s="21">
        <v>4</v>
      </c>
      <c r="G157" s="23">
        <v>24</v>
      </c>
      <c r="H157" s="23">
        <v>38</v>
      </c>
      <c r="I157" s="21"/>
      <c r="J157" s="21">
        <v>0</v>
      </c>
      <c r="K157" s="21"/>
      <c r="L157" s="21">
        <v>0</v>
      </c>
      <c r="M157" s="21">
        <v>2</v>
      </c>
      <c r="N157" s="21">
        <v>4</v>
      </c>
      <c r="O157" s="23">
        <v>6</v>
      </c>
      <c r="P157" s="23">
        <v>6</v>
      </c>
      <c r="Q157" s="23">
        <v>44</v>
      </c>
    </row>
    <row r="158" spans="1:48" x14ac:dyDescent="0.3">
      <c r="A158" s="21" t="s">
        <v>145</v>
      </c>
      <c r="B158" s="21">
        <v>0</v>
      </c>
      <c r="C158" s="21"/>
      <c r="D158" s="21">
        <v>0</v>
      </c>
      <c r="E158" s="21">
        <v>0</v>
      </c>
      <c r="F158" s="21">
        <v>0</v>
      </c>
      <c r="G158" s="23">
        <v>0</v>
      </c>
      <c r="H158" s="23">
        <v>0</v>
      </c>
      <c r="I158" s="21"/>
      <c r="J158" s="21">
        <v>0</v>
      </c>
      <c r="K158" s="21"/>
      <c r="L158" s="21">
        <v>0</v>
      </c>
      <c r="M158" s="21">
        <v>0</v>
      </c>
      <c r="N158" s="21">
        <v>2</v>
      </c>
      <c r="O158" s="23">
        <v>2</v>
      </c>
      <c r="P158" s="23">
        <v>2</v>
      </c>
      <c r="Q158" s="23">
        <v>2</v>
      </c>
    </row>
    <row r="159" spans="1:48" x14ac:dyDescent="0.3">
      <c r="A159" s="31" t="s">
        <v>17</v>
      </c>
      <c r="B159" s="23">
        <v>14</v>
      </c>
      <c r="C159" s="23"/>
      <c r="D159" s="23">
        <v>16</v>
      </c>
      <c r="E159" s="23">
        <v>4</v>
      </c>
      <c r="F159" s="23">
        <v>4</v>
      </c>
      <c r="G159" s="23">
        <v>24</v>
      </c>
      <c r="H159" s="23">
        <v>38</v>
      </c>
      <c r="I159" s="21"/>
      <c r="J159" s="23">
        <v>0</v>
      </c>
      <c r="K159" s="23"/>
      <c r="L159" s="23">
        <v>0</v>
      </c>
      <c r="M159" s="23">
        <v>2</v>
      </c>
      <c r="N159" s="23">
        <v>6</v>
      </c>
      <c r="O159" s="23">
        <v>8</v>
      </c>
      <c r="P159" s="23">
        <v>8</v>
      </c>
      <c r="Q159" s="23">
        <v>46</v>
      </c>
    </row>
    <row r="160" spans="1:48" x14ac:dyDescent="0.3">
      <c r="A160" s="32" t="s">
        <v>119</v>
      </c>
      <c r="B160" s="33">
        <v>0.36842105263157893</v>
      </c>
      <c r="C160" s="33"/>
      <c r="D160" s="33">
        <v>0.42105263157894735</v>
      </c>
      <c r="E160" s="33">
        <v>0.10526315789473684</v>
      </c>
      <c r="F160" s="33">
        <v>0.10526315789473684</v>
      </c>
      <c r="G160" s="33">
        <v>0.63157894736842102</v>
      </c>
      <c r="H160" s="33">
        <v>1</v>
      </c>
      <c r="I160" s="34"/>
      <c r="J160" s="33">
        <v>0</v>
      </c>
      <c r="K160" s="33"/>
      <c r="L160" s="33">
        <v>0</v>
      </c>
      <c r="M160" s="33">
        <v>0.25</v>
      </c>
      <c r="N160" s="33">
        <v>0.75</v>
      </c>
      <c r="O160" s="33">
        <v>1</v>
      </c>
      <c r="P160" s="33">
        <v>1</v>
      </c>
      <c r="Q160" s="35"/>
    </row>
    <row r="161" spans="1:48" x14ac:dyDescent="0.3">
      <c r="A161" s="22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3"/>
    </row>
    <row r="162" spans="1:48" x14ac:dyDescent="0.3">
      <c r="A162" s="23" t="s">
        <v>191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3"/>
    </row>
    <row r="163" spans="1:48" x14ac:dyDescent="0.3">
      <c r="A163" s="21" t="s">
        <v>67</v>
      </c>
      <c r="B163" s="21">
        <v>2</v>
      </c>
      <c r="C163" s="21"/>
      <c r="D163" s="21">
        <v>4</v>
      </c>
      <c r="E163" s="21">
        <v>2</v>
      </c>
      <c r="F163" s="21">
        <v>0</v>
      </c>
      <c r="G163" s="23">
        <v>6</v>
      </c>
      <c r="H163" s="23">
        <v>8</v>
      </c>
      <c r="I163" s="21"/>
      <c r="J163" s="21">
        <v>0</v>
      </c>
      <c r="K163" s="21"/>
      <c r="L163" s="21">
        <v>0</v>
      </c>
      <c r="M163" s="21">
        <v>0</v>
      </c>
      <c r="N163" s="21">
        <v>0</v>
      </c>
      <c r="O163" s="23">
        <v>0</v>
      </c>
      <c r="P163" s="23">
        <v>0</v>
      </c>
      <c r="Q163" s="23">
        <v>8</v>
      </c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</row>
    <row r="164" spans="1:48" x14ac:dyDescent="0.3">
      <c r="A164" s="31" t="s">
        <v>17</v>
      </c>
      <c r="B164" s="23">
        <v>2</v>
      </c>
      <c r="C164" s="23"/>
      <c r="D164" s="23">
        <v>4</v>
      </c>
      <c r="E164" s="23">
        <v>2</v>
      </c>
      <c r="F164" s="23">
        <v>0</v>
      </c>
      <c r="G164" s="23">
        <v>6</v>
      </c>
      <c r="H164" s="23">
        <v>8</v>
      </c>
      <c r="I164" s="21"/>
      <c r="J164" s="23">
        <v>0</v>
      </c>
      <c r="K164" s="23"/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8</v>
      </c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</row>
    <row r="165" spans="1:48" x14ac:dyDescent="0.3">
      <c r="A165" s="32" t="s">
        <v>119</v>
      </c>
      <c r="B165" s="33">
        <v>0.25</v>
      </c>
      <c r="C165" s="33"/>
      <c r="D165" s="33">
        <v>0.5</v>
      </c>
      <c r="E165" s="33">
        <v>0.25</v>
      </c>
      <c r="F165" s="33">
        <v>0</v>
      </c>
      <c r="G165" s="33">
        <v>0.75</v>
      </c>
      <c r="H165" s="33">
        <v>1</v>
      </c>
      <c r="I165" s="34"/>
      <c r="J165" s="33"/>
      <c r="K165" s="33"/>
      <c r="L165" s="33"/>
      <c r="M165" s="33"/>
      <c r="N165" s="33"/>
      <c r="O165" s="33"/>
      <c r="P165" s="33"/>
      <c r="Q165" s="35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</row>
    <row r="166" spans="1:48" x14ac:dyDescent="0.3">
      <c r="A166" s="22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</row>
    <row r="167" spans="1:48" ht="16.2" x14ac:dyDescent="0.3">
      <c r="A167" s="23" t="s">
        <v>172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</row>
    <row r="168" spans="1:48" x14ac:dyDescent="0.3">
      <c r="A168" s="21" t="s">
        <v>146</v>
      </c>
      <c r="B168" s="21">
        <v>1</v>
      </c>
      <c r="C168" s="21"/>
      <c r="D168" s="21">
        <v>0</v>
      </c>
      <c r="E168" s="21">
        <v>0</v>
      </c>
      <c r="F168" s="21">
        <v>0</v>
      </c>
      <c r="G168" s="23">
        <v>0</v>
      </c>
      <c r="H168" s="23">
        <v>1</v>
      </c>
      <c r="I168" s="21"/>
      <c r="J168" s="21">
        <v>0</v>
      </c>
      <c r="K168" s="21"/>
      <c r="L168" s="21">
        <v>0</v>
      </c>
      <c r="M168" s="21">
        <v>0</v>
      </c>
      <c r="N168" s="21">
        <v>0</v>
      </c>
      <c r="O168" s="23">
        <v>0</v>
      </c>
      <c r="P168" s="23">
        <v>0</v>
      </c>
      <c r="Q168" s="23">
        <v>1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</row>
    <row r="169" spans="1:48" x14ac:dyDescent="0.3">
      <c r="A169" s="21" t="s">
        <v>147</v>
      </c>
      <c r="B169" s="21">
        <v>1</v>
      </c>
      <c r="C169" s="21"/>
      <c r="D169" s="21">
        <v>1</v>
      </c>
      <c r="E169" s="21">
        <v>0</v>
      </c>
      <c r="F169" s="21">
        <v>0</v>
      </c>
      <c r="G169" s="23">
        <v>1</v>
      </c>
      <c r="H169" s="23">
        <v>2</v>
      </c>
      <c r="I169" s="21"/>
      <c r="J169" s="21">
        <v>0</v>
      </c>
      <c r="K169" s="21"/>
      <c r="L169" s="21">
        <v>0</v>
      </c>
      <c r="M169" s="21">
        <v>0</v>
      </c>
      <c r="N169" s="21">
        <v>0</v>
      </c>
      <c r="O169" s="23">
        <v>0</v>
      </c>
      <c r="P169" s="23">
        <v>0</v>
      </c>
      <c r="Q169" s="23">
        <v>2</v>
      </c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</row>
    <row r="170" spans="1:48" x14ac:dyDescent="0.3">
      <c r="A170" s="21" t="s">
        <v>192</v>
      </c>
      <c r="B170" s="21">
        <v>0</v>
      </c>
      <c r="C170" s="21"/>
      <c r="D170" s="21">
        <v>0</v>
      </c>
      <c r="E170" s="21">
        <v>0</v>
      </c>
      <c r="F170" s="21">
        <v>0</v>
      </c>
      <c r="G170" s="23">
        <v>0</v>
      </c>
      <c r="H170" s="23">
        <v>0</v>
      </c>
      <c r="I170" s="21"/>
      <c r="J170" s="21">
        <v>0</v>
      </c>
      <c r="K170" s="21"/>
      <c r="L170" s="21">
        <v>0</v>
      </c>
      <c r="M170" s="21">
        <v>0</v>
      </c>
      <c r="N170" s="21">
        <v>0</v>
      </c>
      <c r="O170" s="23">
        <v>0</v>
      </c>
      <c r="P170" s="23">
        <v>0</v>
      </c>
      <c r="Q170" s="23">
        <v>0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</row>
    <row r="171" spans="1:48" x14ac:dyDescent="0.3">
      <c r="A171" s="21" t="s">
        <v>148</v>
      </c>
      <c r="B171" s="21">
        <v>10</v>
      </c>
      <c r="C171" s="21"/>
      <c r="D171" s="21">
        <v>2</v>
      </c>
      <c r="E171" s="21">
        <v>3</v>
      </c>
      <c r="F171" s="21">
        <v>0</v>
      </c>
      <c r="G171" s="23">
        <v>5</v>
      </c>
      <c r="H171" s="23">
        <v>15</v>
      </c>
      <c r="I171" s="21"/>
      <c r="J171" s="21">
        <v>0</v>
      </c>
      <c r="K171" s="21"/>
      <c r="L171" s="21">
        <v>0</v>
      </c>
      <c r="M171" s="21">
        <v>0</v>
      </c>
      <c r="N171" s="21">
        <v>0</v>
      </c>
      <c r="O171" s="23">
        <v>0</v>
      </c>
      <c r="P171" s="23">
        <v>0</v>
      </c>
      <c r="Q171" s="23">
        <v>15</v>
      </c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</row>
    <row r="172" spans="1:48" x14ac:dyDescent="0.3">
      <c r="A172" s="31" t="s">
        <v>69</v>
      </c>
      <c r="B172" s="23">
        <v>12</v>
      </c>
      <c r="C172" s="23"/>
      <c r="D172" s="23">
        <v>3</v>
      </c>
      <c r="E172" s="23">
        <v>3</v>
      </c>
      <c r="F172" s="23">
        <v>0</v>
      </c>
      <c r="G172" s="23">
        <v>6</v>
      </c>
      <c r="H172" s="23">
        <v>18</v>
      </c>
      <c r="I172" s="21"/>
      <c r="J172" s="23">
        <v>0</v>
      </c>
      <c r="K172" s="23"/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18</v>
      </c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</row>
    <row r="173" spans="1:48" x14ac:dyDescent="0.3">
      <c r="A173" s="32" t="s">
        <v>119</v>
      </c>
      <c r="B173" s="33">
        <v>0.66666666666666663</v>
      </c>
      <c r="C173" s="33"/>
      <c r="D173" s="33">
        <v>0.16666666666666666</v>
      </c>
      <c r="E173" s="33">
        <v>0.16666666666666666</v>
      </c>
      <c r="F173" s="33">
        <v>0</v>
      </c>
      <c r="G173" s="33">
        <v>0.33333333333333331</v>
      </c>
      <c r="H173" s="33">
        <v>1</v>
      </c>
      <c r="I173" s="34"/>
      <c r="J173" s="33"/>
      <c r="K173" s="33"/>
      <c r="L173" s="33"/>
      <c r="M173" s="33"/>
      <c r="N173" s="33"/>
      <c r="O173" s="33"/>
      <c r="P173" s="33"/>
      <c r="Q173" s="47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</row>
    <row r="174" spans="1:48" x14ac:dyDescent="0.3">
      <c r="A174" s="22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</row>
    <row r="175" spans="1:48" x14ac:dyDescent="0.3">
      <c r="A175" s="23" t="s">
        <v>70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</row>
    <row r="176" spans="1:48" x14ac:dyDescent="0.3">
      <c r="A176" s="21" t="s">
        <v>71</v>
      </c>
      <c r="B176" s="21">
        <v>31</v>
      </c>
      <c r="C176" s="21"/>
      <c r="D176" s="21">
        <v>18</v>
      </c>
      <c r="E176" s="21">
        <v>9</v>
      </c>
      <c r="F176" s="21">
        <v>5</v>
      </c>
      <c r="G176" s="23">
        <v>32</v>
      </c>
      <c r="H176" s="23">
        <v>63</v>
      </c>
      <c r="I176" s="21"/>
      <c r="J176" s="21">
        <v>0</v>
      </c>
      <c r="K176" s="21"/>
      <c r="L176" s="21">
        <v>0</v>
      </c>
      <c r="M176" s="21">
        <v>0</v>
      </c>
      <c r="N176" s="21">
        <v>1</v>
      </c>
      <c r="O176" s="23">
        <v>1</v>
      </c>
      <c r="P176" s="23">
        <v>1</v>
      </c>
      <c r="Q176" s="23">
        <v>64</v>
      </c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</row>
    <row r="177" spans="1:48" x14ac:dyDescent="0.3">
      <c r="A177" s="21" t="s">
        <v>72</v>
      </c>
      <c r="B177" s="21">
        <v>0</v>
      </c>
      <c r="C177" s="21"/>
      <c r="D177" s="21">
        <v>0</v>
      </c>
      <c r="E177" s="21">
        <v>0</v>
      </c>
      <c r="F177" s="21">
        <v>0</v>
      </c>
      <c r="G177" s="23">
        <v>0</v>
      </c>
      <c r="H177" s="23">
        <v>0</v>
      </c>
      <c r="I177" s="21"/>
      <c r="J177" s="21">
        <v>0</v>
      </c>
      <c r="K177" s="21"/>
      <c r="L177" s="21">
        <v>0</v>
      </c>
      <c r="M177" s="21">
        <v>0</v>
      </c>
      <c r="N177" s="21">
        <v>0</v>
      </c>
      <c r="O177" s="23">
        <v>0</v>
      </c>
      <c r="P177" s="23">
        <v>0</v>
      </c>
      <c r="Q177" s="23">
        <v>0</v>
      </c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</row>
    <row r="178" spans="1:48" x14ac:dyDescent="0.3">
      <c r="A178" s="21" t="s">
        <v>73</v>
      </c>
      <c r="B178" s="21">
        <v>9</v>
      </c>
      <c r="C178" s="21"/>
      <c r="D178" s="21">
        <v>12</v>
      </c>
      <c r="E178" s="21">
        <v>4</v>
      </c>
      <c r="F178" s="21">
        <v>2</v>
      </c>
      <c r="G178" s="23">
        <v>18</v>
      </c>
      <c r="H178" s="23">
        <v>27</v>
      </c>
      <c r="I178" s="21"/>
      <c r="J178" s="21">
        <v>0</v>
      </c>
      <c r="K178" s="21"/>
      <c r="L178" s="21">
        <v>0</v>
      </c>
      <c r="M178" s="21">
        <v>0</v>
      </c>
      <c r="N178" s="21">
        <v>0</v>
      </c>
      <c r="O178" s="23">
        <v>0</v>
      </c>
      <c r="P178" s="23">
        <v>0</v>
      </c>
      <c r="Q178" s="23">
        <v>27</v>
      </c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</row>
    <row r="179" spans="1:48" x14ac:dyDescent="0.3">
      <c r="A179" s="21" t="s">
        <v>74</v>
      </c>
      <c r="B179" s="21">
        <v>21</v>
      </c>
      <c r="C179" s="21"/>
      <c r="D179" s="21">
        <v>12</v>
      </c>
      <c r="E179" s="21">
        <v>13</v>
      </c>
      <c r="F179" s="21">
        <v>2</v>
      </c>
      <c r="G179" s="23">
        <v>27</v>
      </c>
      <c r="H179" s="23">
        <v>48</v>
      </c>
      <c r="I179" s="21"/>
      <c r="J179" s="21">
        <v>0</v>
      </c>
      <c r="K179" s="21"/>
      <c r="L179" s="21">
        <v>1</v>
      </c>
      <c r="M179" s="21">
        <v>0</v>
      </c>
      <c r="N179" s="21">
        <v>1</v>
      </c>
      <c r="O179" s="23">
        <v>2</v>
      </c>
      <c r="P179" s="23">
        <v>2</v>
      </c>
      <c r="Q179" s="23">
        <v>50</v>
      </c>
    </row>
    <row r="180" spans="1:48" x14ac:dyDescent="0.3">
      <c r="A180" s="21" t="s">
        <v>75</v>
      </c>
      <c r="B180" s="21">
        <v>6</v>
      </c>
      <c r="C180" s="21"/>
      <c r="D180" s="21">
        <v>7</v>
      </c>
      <c r="E180" s="21">
        <v>4</v>
      </c>
      <c r="F180" s="21">
        <v>1</v>
      </c>
      <c r="G180" s="23">
        <v>12</v>
      </c>
      <c r="H180" s="23">
        <v>18</v>
      </c>
      <c r="I180" s="21"/>
      <c r="J180" s="21">
        <v>0</v>
      </c>
      <c r="K180" s="21"/>
      <c r="L180" s="21">
        <v>0</v>
      </c>
      <c r="M180" s="21">
        <v>0</v>
      </c>
      <c r="N180" s="21">
        <v>0</v>
      </c>
      <c r="O180" s="23">
        <v>0</v>
      </c>
      <c r="P180" s="23">
        <v>0</v>
      </c>
      <c r="Q180" s="23">
        <v>18</v>
      </c>
    </row>
    <row r="181" spans="1:48" x14ac:dyDescent="0.3">
      <c r="A181" s="21" t="s">
        <v>76</v>
      </c>
      <c r="B181" s="21">
        <v>8</v>
      </c>
      <c r="C181" s="21"/>
      <c r="D181" s="21">
        <v>3</v>
      </c>
      <c r="E181" s="21">
        <v>1</v>
      </c>
      <c r="F181" s="21">
        <v>0</v>
      </c>
      <c r="G181" s="23">
        <v>4</v>
      </c>
      <c r="H181" s="23">
        <v>12</v>
      </c>
      <c r="I181" s="21"/>
      <c r="J181" s="21">
        <v>0</v>
      </c>
      <c r="K181" s="21"/>
      <c r="L181" s="21">
        <v>0</v>
      </c>
      <c r="M181" s="21">
        <v>0</v>
      </c>
      <c r="N181" s="21">
        <v>0</v>
      </c>
      <c r="O181" s="23">
        <v>0</v>
      </c>
      <c r="P181" s="23">
        <v>0</v>
      </c>
      <c r="Q181" s="23">
        <v>12</v>
      </c>
    </row>
    <row r="182" spans="1:48" x14ac:dyDescent="0.3">
      <c r="A182" s="21" t="s">
        <v>77</v>
      </c>
      <c r="B182" s="21">
        <v>11</v>
      </c>
      <c r="C182" s="21"/>
      <c r="D182" s="21">
        <v>5</v>
      </c>
      <c r="E182" s="21">
        <v>5</v>
      </c>
      <c r="F182" s="21">
        <v>4</v>
      </c>
      <c r="G182" s="23">
        <v>14</v>
      </c>
      <c r="H182" s="23">
        <v>25</v>
      </c>
      <c r="I182" s="21"/>
      <c r="J182" s="21">
        <v>0</v>
      </c>
      <c r="K182" s="21"/>
      <c r="L182" s="21">
        <v>0</v>
      </c>
      <c r="M182" s="21">
        <v>0</v>
      </c>
      <c r="N182" s="21">
        <v>0</v>
      </c>
      <c r="O182" s="23">
        <v>0</v>
      </c>
      <c r="P182" s="23">
        <v>0</v>
      </c>
      <c r="Q182" s="23">
        <v>25</v>
      </c>
    </row>
    <row r="183" spans="1:48" x14ac:dyDescent="0.3">
      <c r="A183" s="21" t="s">
        <v>78</v>
      </c>
      <c r="B183" s="21">
        <v>5</v>
      </c>
      <c r="C183" s="21"/>
      <c r="D183" s="21">
        <v>5</v>
      </c>
      <c r="E183" s="21">
        <v>3</v>
      </c>
      <c r="F183" s="21">
        <v>0</v>
      </c>
      <c r="G183" s="23">
        <v>8</v>
      </c>
      <c r="H183" s="23">
        <v>13</v>
      </c>
      <c r="I183" s="21"/>
      <c r="J183" s="21">
        <v>0</v>
      </c>
      <c r="K183" s="21"/>
      <c r="L183" s="21">
        <v>0</v>
      </c>
      <c r="M183" s="21">
        <v>0</v>
      </c>
      <c r="N183" s="21">
        <v>0</v>
      </c>
      <c r="O183" s="23">
        <v>0</v>
      </c>
      <c r="P183" s="23">
        <v>0</v>
      </c>
      <c r="Q183" s="23">
        <v>13</v>
      </c>
    </row>
    <row r="184" spans="1:48" x14ac:dyDescent="0.3">
      <c r="A184" s="21" t="s">
        <v>79</v>
      </c>
      <c r="B184" s="21">
        <v>0</v>
      </c>
      <c r="C184" s="21"/>
      <c r="D184" s="21">
        <v>0</v>
      </c>
      <c r="E184" s="21">
        <v>0</v>
      </c>
      <c r="F184" s="21">
        <v>0</v>
      </c>
      <c r="G184" s="23">
        <v>0</v>
      </c>
      <c r="H184" s="23">
        <v>0</v>
      </c>
      <c r="I184" s="21"/>
      <c r="J184" s="21">
        <v>0</v>
      </c>
      <c r="K184" s="21"/>
      <c r="L184" s="21">
        <v>0</v>
      </c>
      <c r="M184" s="21">
        <v>0</v>
      </c>
      <c r="N184" s="21">
        <v>0</v>
      </c>
      <c r="O184" s="23">
        <v>0</v>
      </c>
      <c r="P184" s="23">
        <v>0</v>
      </c>
      <c r="Q184" s="23">
        <v>0</v>
      </c>
    </row>
    <row r="185" spans="1:48" x14ac:dyDescent="0.3">
      <c r="A185" s="31" t="s">
        <v>17</v>
      </c>
      <c r="B185" s="23">
        <v>91</v>
      </c>
      <c r="C185" s="23"/>
      <c r="D185" s="23">
        <v>62</v>
      </c>
      <c r="E185" s="23">
        <v>39</v>
      </c>
      <c r="F185" s="23">
        <v>14</v>
      </c>
      <c r="G185" s="23">
        <v>115</v>
      </c>
      <c r="H185" s="23">
        <v>206</v>
      </c>
      <c r="I185" s="21"/>
      <c r="J185" s="23">
        <v>0</v>
      </c>
      <c r="K185" s="23"/>
      <c r="L185" s="23">
        <v>1</v>
      </c>
      <c r="M185" s="23">
        <v>0</v>
      </c>
      <c r="N185" s="23">
        <v>2</v>
      </c>
      <c r="O185" s="23">
        <v>3</v>
      </c>
      <c r="P185" s="23">
        <v>3</v>
      </c>
      <c r="Q185" s="23">
        <v>209</v>
      </c>
    </row>
    <row r="186" spans="1:48" x14ac:dyDescent="0.3">
      <c r="A186" s="32" t="s">
        <v>119</v>
      </c>
      <c r="B186" s="33">
        <v>0.44174757281553401</v>
      </c>
      <c r="C186" s="33"/>
      <c r="D186" s="33">
        <v>0.30097087378640774</v>
      </c>
      <c r="E186" s="33">
        <v>0.18932038834951456</v>
      </c>
      <c r="F186" s="33">
        <v>6.7961165048543687E-2</v>
      </c>
      <c r="G186" s="33">
        <v>0.55825242718446599</v>
      </c>
      <c r="H186" s="33">
        <v>1</v>
      </c>
      <c r="I186" s="34"/>
      <c r="J186" s="33">
        <v>0</v>
      </c>
      <c r="K186" s="33"/>
      <c r="L186" s="33">
        <v>0.33333333333333331</v>
      </c>
      <c r="M186" s="33">
        <v>0</v>
      </c>
      <c r="N186" s="33">
        <v>0.66666666666666663</v>
      </c>
      <c r="O186" s="33">
        <v>1</v>
      </c>
      <c r="P186" s="33">
        <v>1</v>
      </c>
      <c r="Q186" s="35"/>
    </row>
    <row r="187" spans="1:48" x14ac:dyDescent="0.3">
      <c r="A187" s="22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3"/>
    </row>
    <row r="188" spans="1:48" x14ac:dyDescent="0.3">
      <c r="A188" s="23" t="s">
        <v>193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3"/>
    </row>
    <row r="189" spans="1:48" ht="16.2" x14ac:dyDescent="0.3">
      <c r="A189" s="49" t="s">
        <v>173</v>
      </c>
      <c r="B189" s="21">
        <v>2</v>
      </c>
      <c r="C189" s="21"/>
      <c r="D189" s="21">
        <v>2</v>
      </c>
      <c r="E189" s="21">
        <v>0</v>
      </c>
      <c r="F189" s="21">
        <v>0</v>
      </c>
      <c r="G189" s="23">
        <v>2</v>
      </c>
      <c r="H189" s="23">
        <v>4</v>
      </c>
      <c r="I189" s="21"/>
      <c r="J189" s="21">
        <v>1</v>
      </c>
      <c r="K189" s="21"/>
      <c r="L189" s="21">
        <v>2</v>
      </c>
      <c r="M189" s="21">
        <v>0</v>
      </c>
      <c r="N189" s="21">
        <v>0</v>
      </c>
      <c r="O189" s="23">
        <v>2</v>
      </c>
      <c r="P189" s="23">
        <v>3</v>
      </c>
      <c r="Q189" s="23">
        <v>7</v>
      </c>
    </row>
    <row r="190" spans="1:48" ht="16.2" x14ac:dyDescent="0.3">
      <c r="A190" s="49" t="s">
        <v>174</v>
      </c>
      <c r="B190" s="21">
        <v>8</v>
      </c>
      <c r="C190" s="21"/>
      <c r="D190" s="21">
        <v>8</v>
      </c>
      <c r="E190" s="21">
        <v>0</v>
      </c>
      <c r="F190" s="21">
        <v>0</v>
      </c>
      <c r="G190" s="23">
        <v>8</v>
      </c>
      <c r="H190" s="23">
        <v>16</v>
      </c>
      <c r="I190" s="21"/>
      <c r="J190" s="21">
        <v>8</v>
      </c>
      <c r="K190" s="21"/>
      <c r="L190" s="21">
        <v>9</v>
      </c>
      <c r="M190" s="21">
        <v>0</v>
      </c>
      <c r="N190" s="21">
        <v>0</v>
      </c>
      <c r="O190" s="23">
        <v>9</v>
      </c>
      <c r="P190" s="23">
        <v>17</v>
      </c>
      <c r="Q190" s="23">
        <v>33</v>
      </c>
    </row>
    <row r="191" spans="1:48" ht="16.2" x14ac:dyDescent="0.3">
      <c r="A191" s="49" t="s">
        <v>175</v>
      </c>
      <c r="B191" s="21">
        <v>0</v>
      </c>
      <c r="C191" s="21"/>
      <c r="D191" s="21">
        <v>0</v>
      </c>
      <c r="E191" s="21">
        <v>0</v>
      </c>
      <c r="F191" s="21">
        <v>0</v>
      </c>
      <c r="G191" s="23">
        <v>0</v>
      </c>
      <c r="H191" s="23">
        <v>0</v>
      </c>
      <c r="I191" s="21"/>
      <c r="J191" s="21">
        <v>0</v>
      </c>
      <c r="K191" s="21"/>
      <c r="L191" s="21">
        <v>0</v>
      </c>
      <c r="M191" s="21">
        <v>0</v>
      </c>
      <c r="N191" s="21">
        <v>0</v>
      </c>
      <c r="O191" s="23">
        <v>0</v>
      </c>
      <c r="P191" s="23">
        <v>0</v>
      </c>
      <c r="Q191" s="23">
        <v>0</v>
      </c>
    </row>
    <row r="192" spans="1:48" ht="16.2" x14ac:dyDescent="0.3">
      <c r="A192" s="49" t="s">
        <v>176</v>
      </c>
      <c r="B192" s="21">
        <v>10</v>
      </c>
      <c r="C192" s="21"/>
      <c r="D192" s="21">
        <v>2</v>
      </c>
      <c r="E192" s="21">
        <v>0</v>
      </c>
      <c r="F192" s="21">
        <v>0</v>
      </c>
      <c r="G192" s="23">
        <v>2</v>
      </c>
      <c r="H192" s="23">
        <v>12</v>
      </c>
      <c r="I192" s="21"/>
      <c r="J192" s="21">
        <v>3</v>
      </c>
      <c r="K192" s="21"/>
      <c r="L192" s="21">
        <v>3</v>
      </c>
      <c r="M192" s="21">
        <v>0</v>
      </c>
      <c r="N192" s="21">
        <v>0</v>
      </c>
      <c r="O192" s="23">
        <v>3</v>
      </c>
      <c r="P192" s="23">
        <v>6</v>
      </c>
      <c r="Q192" s="23">
        <v>18</v>
      </c>
    </row>
    <row r="193" spans="1:17" ht="16.2" x14ac:dyDescent="0.3">
      <c r="A193" s="49" t="s">
        <v>177</v>
      </c>
      <c r="B193" s="21">
        <v>1</v>
      </c>
      <c r="C193" s="21"/>
      <c r="D193" s="21">
        <v>2</v>
      </c>
      <c r="E193" s="21">
        <v>0</v>
      </c>
      <c r="F193" s="21">
        <v>0</v>
      </c>
      <c r="G193" s="23">
        <v>2</v>
      </c>
      <c r="H193" s="23">
        <v>3</v>
      </c>
      <c r="I193" s="21"/>
      <c r="J193" s="21">
        <v>1</v>
      </c>
      <c r="K193" s="21"/>
      <c r="L193" s="21">
        <v>0</v>
      </c>
      <c r="M193" s="21">
        <v>0</v>
      </c>
      <c r="N193" s="21">
        <v>0</v>
      </c>
      <c r="O193" s="23">
        <v>0</v>
      </c>
      <c r="P193" s="23">
        <v>1</v>
      </c>
      <c r="Q193" s="23">
        <v>4</v>
      </c>
    </row>
    <row r="194" spans="1:17" ht="16.2" x14ac:dyDescent="0.3">
      <c r="A194" s="49" t="s">
        <v>178</v>
      </c>
      <c r="B194" s="21">
        <v>0</v>
      </c>
      <c r="C194" s="21"/>
      <c r="D194" s="21">
        <v>0</v>
      </c>
      <c r="E194" s="21">
        <v>8</v>
      </c>
      <c r="F194" s="21">
        <v>12</v>
      </c>
      <c r="G194" s="23">
        <v>20</v>
      </c>
      <c r="H194" s="23">
        <v>20</v>
      </c>
      <c r="I194" s="21"/>
      <c r="J194" s="21">
        <v>0</v>
      </c>
      <c r="K194" s="21"/>
      <c r="L194" s="21">
        <v>0</v>
      </c>
      <c r="M194" s="21">
        <v>6</v>
      </c>
      <c r="N194" s="21">
        <v>12</v>
      </c>
      <c r="O194" s="23">
        <v>18</v>
      </c>
      <c r="P194" s="23">
        <v>18</v>
      </c>
      <c r="Q194" s="23">
        <v>38</v>
      </c>
    </row>
    <row r="195" spans="1:17" ht="16.2" x14ac:dyDescent="0.3">
      <c r="A195" s="49" t="s">
        <v>179</v>
      </c>
      <c r="B195" s="21">
        <v>0</v>
      </c>
      <c r="C195" s="21"/>
      <c r="D195" s="21">
        <v>1</v>
      </c>
      <c r="E195" s="21">
        <v>4</v>
      </c>
      <c r="F195" s="21">
        <v>8</v>
      </c>
      <c r="G195" s="23">
        <v>13</v>
      </c>
      <c r="H195" s="23">
        <v>13</v>
      </c>
      <c r="I195" s="21"/>
      <c r="J195" s="21">
        <v>0</v>
      </c>
      <c r="K195" s="21"/>
      <c r="L195" s="21">
        <v>1</v>
      </c>
      <c r="M195" s="21">
        <v>2</v>
      </c>
      <c r="N195" s="21">
        <v>4</v>
      </c>
      <c r="O195" s="23">
        <v>7</v>
      </c>
      <c r="P195" s="23">
        <v>7</v>
      </c>
      <c r="Q195" s="23">
        <v>20</v>
      </c>
    </row>
    <row r="196" spans="1:17" x14ac:dyDescent="0.3">
      <c r="A196" s="49" t="s">
        <v>194</v>
      </c>
      <c r="B196" s="21">
        <v>0</v>
      </c>
      <c r="C196" s="21"/>
      <c r="D196" s="21">
        <v>0</v>
      </c>
      <c r="E196" s="21">
        <v>0</v>
      </c>
      <c r="F196" s="21">
        <v>0</v>
      </c>
      <c r="G196" s="23">
        <v>0</v>
      </c>
      <c r="H196" s="23">
        <v>0</v>
      </c>
      <c r="I196" s="21"/>
      <c r="J196" s="21">
        <v>0</v>
      </c>
      <c r="K196" s="21"/>
      <c r="L196" s="21">
        <v>0</v>
      </c>
      <c r="M196" s="21">
        <v>0</v>
      </c>
      <c r="N196" s="21">
        <v>1</v>
      </c>
      <c r="O196" s="23">
        <v>1</v>
      </c>
      <c r="P196" s="23">
        <v>1</v>
      </c>
      <c r="Q196" s="23">
        <v>1</v>
      </c>
    </row>
    <row r="197" spans="1:17" x14ac:dyDescent="0.3">
      <c r="A197" s="3" t="s">
        <v>80</v>
      </c>
      <c r="B197" s="23">
        <v>21</v>
      </c>
      <c r="C197" s="23"/>
      <c r="D197" s="23">
        <v>15</v>
      </c>
      <c r="E197" s="23">
        <v>12</v>
      </c>
      <c r="F197" s="23">
        <v>20</v>
      </c>
      <c r="G197" s="23">
        <v>47</v>
      </c>
      <c r="H197" s="23">
        <v>68</v>
      </c>
      <c r="I197" s="21"/>
      <c r="J197" s="23">
        <v>13</v>
      </c>
      <c r="K197" s="23"/>
      <c r="L197" s="23">
        <v>15</v>
      </c>
      <c r="M197" s="23">
        <v>8</v>
      </c>
      <c r="N197" s="23">
        <v>17</v>
      </c>
      <c r="O197" s="23">
        <v>40</v>
      </c>
      <c r="P197" s="23">
        <v>53</v>
      </c>
      <c r="Q197" s="23">
        <v>121</v>
      </c>
    </row>
    <row r="198" spans="1:17" x14ac:dyDescent="0.3">
      <c r="A198" s="32" t="s">
        <v>119</v>
      </c>
      <c r="B198" s="33">
        <v>0.30882352941176472</v>
      </c>
      <c r="C198" s="33"/>
      <c r="D198" s="33">
        <v>0.22058823529411764</v>
      </c>
      <c r="E198" s="33">
        <v>0.17647058823529413</v>
      </c>
      <c r="F198" s="33">
        <v>0.29411764705882354</v>
      </c>
      <c r="G198" s="33">
        <v>0.69117647058823528</v>
      </c>
      <c r="H198" s="33">
        <v>1</v>
      </c>
      <c r="I198" s="34"/>
      <c r="J198" s="33">
        <v>0.24528301886792453</v>
      </c>
      <c r="K198" s="33"/>
      <c r="L198" s="33">
        <v>0.28301886792452829</v>
      </c>
      <c r="M198" s="33">
        <v>0.15094339622641509</v>
      </c>
      <c r="N198" s="33">
        <v>0.32075471698113206</v>
      </c>
      <c r="O198" s="33">
        <v>0.75471698113207553</v>
      </c>
      <c r="P198" s="33">
        <v>1</v>
      </c>
      <c r="Q198" s="35"/>
    </row>
    <row r="199" spans="1:17" x14ac:dyDescent="0.3">
      <c r="A199" s="22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3"/>
    </row>
    <row r="200" spans="1:17" x14ac:dyDescent="0.3">
      <c r="A200" s="23" t="s">
        <v>4</v>
      </c>
      <c r="B200" s="23">
        <v>762</v>
      </c>
      <c r="C200" s="23"/>
      <c r="D200" s="23">
        <v>694</v>
      </c>
      <c r="E200" s="23">
        <v>333</v>
      </c>
      <c r="F200" s="23">
        <v>253</v>
      </c>
      <c r="G200" s="23">
        <v>1280</v>
      </c>
      <c r="H200" s="23">
        <v>2042</v>
      </c>
      <c r="I200" s="21"/>
      <c r="J200" s="23">
        <v>137</v>
      </c>
      <c r="K200" s="23"/>
      <c r="L200" s="23">
        <v>95</v>
      </c>
      <c r="M200" s="23">
        <v>128</v>
      </c>
      <c r="N200" s="23">
        <v>177</v>
      </c>
      <c r="O200" s="23">
        <v>400</v>
      </c>
      <c r="P200" s="23">
        <v>537</v>
      </c>
      <c r="Q200" s="23">
        <v>2579</v>
      </c>
    </row>
    <row r="201" spans="1:17" x14ac:dyDescent="0.3">
      <c r="A201" s="32" t="s">
        <v>119</v>
      </c>
      <c r="B201" s="33">
        <v>0.37316356513222332</v>
      </c>
      <c r="C201" s="33"/>
      <c r="D201" s="33">
        <v>0.33986287952987265</v>
      </c>
      <c r="E201" s="33">
        <v>0.16307541625857003</v>
      </c>
      <c r="F201" s="33">
        <v>0.12389813907933399</v>
      </c>
      <c r="G201" s="33">
        <v>0.62683643486777674</v>
      </c>
      <c r="H201" s="33">
        <v>1</v>
      </c>
      <c r="I201" s="34"/>
      <c r="J201" s="33">
        <v>0.25512104283054005</v>
      </c>
      <c r="K201" s="33"/>
      <c r="L201" s="33">
        <v>0.17690875232774675</v>
      </c>
      <c r="M201" s="33">
        <v>0.23836126629422719</v>
      </c>
      <c r="N201" s="33">
        <v>0.32960893854748602</v>
      </c>
      <c r="O201" s="33">
        <v>0.74487895716945995</v>
      </c>
      <c r="P201" s="33">
        <v>1</v>
      </c>
      <c r="Q201" s="35"/>
    </row>
    <row r="202" spans="1:17" x14ac:dyDescent="0.3">
      <c r="A202" s="21"/>
      <c r="B202" s="23"/>
      <c r="C202" s="23"/>
      <c r="D202" s="23"/>
      <c r="E202" s="23"/>
      <c r="F202" s="23"/>
      <c r="G202" s="23"/>
      <c r="H202" s="23"/>
      <c r="I202" s="21"/>
      <c r="J202" s="23"/>
      <c r="K202" s="23"/>
      <c r="L202" s="23"/>
      <c r="M202" s="23"/>
      <c r="N202" s="23"/>
      <c r="O202" s="23"/>
      <c r="P202" s="23"/>
      <c r="Q202" s="23"/>
    </row>
    <row r="203" spans="1:17" ht="16.2" x14ac:dyDescent="0.3">
      <c r="A203" s="21" t="s">
        <v>180</v>
      </c>
      <c r="B203" s="23">
        <v>0</v>
      </c>
      <c r="C203" s="23"/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1"/>
      <c r="J203" s="23">
        <v>7</v>
      </c>
      <c r="K203" s="23"/>
      <c r="L203" s="23">
        <v>6</v>
      </c>
      <c r="M203" s="23">
        <v>5</v>
      </c>
      <c r="N203" s="23">
        <v>13</v>
      </c>
      <c r="O203" s="23">
        <v>24</v>
      </c>
      <c r="P203" s="23">
        <v>31</v>
      </c>
      <c r="Q203" s="23">
        <v>31</v>
      </c>
    </row>
    <row r="204" spans="1:17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x14ac:dyDescent="0.3">
      <c r="A205" s="23" t="s">
        <v>85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x14ac:dyDescent="0.3">
      <c r="A206" s="51" t="s">
        <v>86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21"/>
    </row>
    <row r="207" spans="1:17" x14ac:dyDescent="0.3">
      <c r="A207" s="52" t="s">
        <v>181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9"/>
    </row>
    <row r="208" spans="1:17" x14ac:dyDescent="0.3">
      <c r="A208" s="51" t="s">
        <v>87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1:17" x14ac:dyDescent="0.3">
      <c r="A209" s="51" t="s">
        <v>149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1"/>
    </row>
    <row r="210" spans="1:17" x14ac:dyDescent="0.3">
      <c r="A210" s="51" t="s">
        <v>150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1"/>
    </row>
    <row r="211" spans="1:17" x14ac:dyDescent="0.3">
      <c r="A211" s="51" t="s">
        <v>151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1"/>
    </row>
    <row r="212" spans="1:17" x14ac:dyDescent="0.3">
      <c r="A212" s="51" t="s">
        <v>152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1"/>
    </row>
    <row r="213" spans="1:17" x14ac:dyDescent="0.3">
      <c r="A213" s="51" t="s">
        <v>153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1"/>
    </row>
    <row r="214" spans="1:17" x14ac:dyDescent="0.3">
      <c r="A214" s="175" t="s">
        <v>182</v>
      </c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21"/>
    </row>
    <row r="215" spans="1:17" x14ac:dyDescent="0.3">
      <c r="A215" s="38" t="s">
        <v>154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21"/>
    </row>
    <row r="216" spans="1:17" x14ac:dyDescent="0.3">
      <c r="A216" s="38" t="s">
        <v>155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21"/>
    </row>
    <row r="217" spans="1:17" x14ac:dyDescent="0.3">
      <c r="A217" s="51" t="s">
        <v>156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21"/>
    </row>
    <row r="218" spans="1:17" x14ac:dyDescent="0.3">
      <c r="A218" s="51" t="s">
        <v>157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21"/>
    </row>
    <row r="219" spans="1:17" x14ac:dyDescent="0.3">
      <c r="A219" s="51" t="s">
        <v>158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21"/>
    </row>
    <row r="220" spans="1:17" x14ac:dyDescent="0.3">
      <c r="A220" s="51" t="s">
        <v>159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21"/>
    </row>
    <row r="221" spans="1:17" x14ac:dyDescent="0.3">
      <c r="A221" s="175" t="s">
        <v>160</v>
      </c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21"/>
    </row>
    <row r="222" spans="1:17" x14ac:dyDescent="0.3">
      <c r="A222" s="176" t="s">
        <v>161</v>
      </c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21"/>
    </row>
    <row r="223" spans="1:17" x14ac:dyDescent="0.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21"/>
    </row>
    <row r="224" spans="1:17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</sheetData>
  <mergeCells count="11">
    <mergeCell ref="L8:O8"/>
    <mergeCell ref="D8:G8"/>
    <mergeCell ref="A221:P221"/>
    <mergeCell ref="A222:P222"/>
    <mergeCell ref="A214:P214"/>
    <mergeCell ref="B6:H6"/>
    <mergeCell ref="J6:P6"/>
    <mergeCell ref="A1:Q1"/>
    <mergeCell ref="A2:Q2"/>
    <mergeCell ref="A3:Q3"/>
    <mergeCell ref="A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2"/>
  <sheetViews>
    <sheetView zoomScaleNormal="100" zoomScaleSheetLayoutView="100" workbookViewId="0">
      <pane xSplit="8" ySplit="17" topLeftCell="I18" activePane="bottomRight" state="frozen"/>
      <selection pane="topRight" activeCell="I1" sqref="I1"/>
      <selection pane="bottomLeft" activeCell="A18" sqref="A18"/>
      <selection pane="bottomRight" activeCell="H124" sqref="H124"/>
    </sheetView>
  </sheetViews>
  <sheetFormatPr defaultRowHeight="14.4" x14ac:dyDescent="0.3"/>
  <cols>
    <col min="1" max="1" width="35.44140625" style="21" customWidth="1"/>
    <col min="2" max="2" width="9.88671875" style="21" bestFit="1" customWidth="1"/>
    <col min="3" max="3" width="1.109375" style="21" customWidth="1"/>
    <col min="4" max="4" width="9.5546875" style="21" bestFit="1" customWidth="1"/>
    <col min="5" max="6" width="9.21875" style="21" bestFit="1" customWidth="1"/>
    <col min="7" max="7" width="9.77734375" style="21" bestFit="1" customWidth="1"/>
    <col min="8" max="8" width="10" style="21" bestFit="1" customWidth="1"/>
    <col min="9" max="9" width="2.21875" style="21" customWidth="1"/>
    <col min="10" max="10" width="9" style="21" bestFit="1" customWidth="1"/>
    <col min="11" max="11" width="1.109375" style="21" customWidth="1"/>
    <col min="12" max="12" width="9.5546875" style="21" bestFit="1" customWidth="1"/>
    <col min="13" max="13" width="9.33203125" style="21" bestFit="1" customWidth="1"/>
    <col min="14" max="14" width="10.21875" style="21" bestFit="1" customWidth="1"/>
    <col min="15" max="15" width="9.88671875" style="21" bestFit="1" customWidth="1"/>
    <col min="16" max="16" width="10" style="21" bestFit="1" customWidth="1"/>
    <col min="17" max="17" width="2.21875" style="49" customWidth="1"/>
    <col min="18" max="18" width="7.77734375" style="21" bestFit="1" customWidth="1"/>
    <col min="19" max="16384" width="8.88671875" style="21"/>
  </cols>
  <sheetData>
    <row r="1" spans="1:18" x14ac:dyDescent="0.3">
      <c r="A1" s="172" t="s">
        <v>218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x14ac:dyDescent="0.3">
      <c r="A2" s="172" t="s">
        <v>106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x14ac:dyDescent="0.3">
      <c r="A3" s="172" t="s">
        <v>107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x14ac:dyDescent="0.3">
      <c r="A4" s="173" t="s">
        <v>108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Q5" s="21"/>
    </row>
    <row r="6" spans="1:18" s="23" customFormat="1" x14ac:dyDescent="0.3">
      <c r="A6" s="22"/>
      <c r="B6" s="171" t="s">
        <v>109</v>
      </c>
      <c r="C6" s="171"/>
      <c r="D6" s="171"/>
      <c r="E6" s="171"/>
      <c r="F6" s="171"/>
      <c r="G6" s="171"/>
      <c r="H6" s="171"/>
      <c r="I6" s="22"/>
      <c r="J6" s="171" t="s">
        <v>110</v>
      </c>
      <c r="K6" s="171"/>
      <c r="L6" s="171"/>
      <c r="M6" s="171"/>
      <c r="N6" s="171"/>
      <c r="O6" s="171"/>
      <c r="P6" s="171"/>
      <c r="Q6" s="64"/>
    </row>
    <row r="7" spans="1:18" s="23" customFormat="1" ht="5.25" customHeight="1" x14ac:dyDescent="0.3">
      <c r="A7" s="22"/>
      <c r="B7" s="62"/>
      <c r="C7" s="62"/>
      <c r="D7" s="62"/>
      <c r="E7" s="62"/>
      <c r="F7" s="62"/>
      <c r="G7" s="62"/>
      <c r="H7" s="62"/>
      <c r="I7" s="22"/>
      <c r="J7" s="62"/>
      <c r="K7" s="62"/>
      <c r="L7" s="62"/>
      <c r="M7" s="62"/>
      <c r="N7" s="62"/>
      <c r="O7" s="62"/>
      <c r="P7" s="62"/>
      <c r="Q7" s="64"/>
    </row>
    <row r="8" spans="1:18" s="23" customFormat="1" ht="16.2" x14ac:dyDescent="0.3">
      <c r="A8" s="22"/>
      <c r="B8" s="60" t="s">
        <v>162</v>
      </c>
      <c r="C8" s="62"/>
      <c r="D8" s="174" t="s">
        <v>111</v>
      </c>
      <c r="E8" s="174"/>
      <c r="F8" s="174"/>
      <c r="G8" s="174"/>
      <c r="H8" s="62" t="s">
        <v>109</v>
      </c>
      <c r="I8" s="62"/>
      <c r="J8" s="60" t="s">
        <v>162</v>
      </c>
      <c r="K8" s="62"/>
      <c r="L8" s="174" t="s">
        <v>111</v>
      </c>
      <c r="M8" s="174"/>
      <c r="N8" s="174"/>
      <c r="O8" s="174"/>
      <c r="P8" s="62" t="s">
        <v>110</v>
      </c>
      <c r="Q8" s="64"/>
      <c r="R8" s="26" t="s">
        <v>112</v>
      </c>
    </row>
    <row r="9" spans="1:18" s="23" customFormat="1" x14ac:dyDescent="0.3">
      <c r="A9" s="27" t="s">
        <v>113</v>
      </c>
      <c r="B9" s="60" t="s">
        <v>114</v>
      </c>
      <c r="C9" s="60"/>
      <c r="D9" s="28" t="s">
        <v>217</v>
      </c>
      <c r="E9" s="28" t="s">
        <v>216</v>
      </c>
      <c r="F9" s="28" t="s">
        <v>215</v>
      </c>
      <c r="G9" s="28" t="s">
        <v>17</v>
      </c>
      <c r="H9" s="62" t="s">
        <v>4</v>
      </c>
      <c r="I9" s="62"/>
      <c r="J9" s="60" t="s">
        <v>114</v>
      </c>
      <c r="K9" s="60"/>
      <c r="L9" s="28" t="s">
        <v>217</v>
      </c>
      <c r="M9" s="28" t="s">
        <v>216</v>
      </c>
      <c r="N9" s="28" t="s">
        <v>215</v>
      </c>
      <c r="O9" s="28" t="s">
        <v>17</v>
      </c>
      <c r="P9" s="62" t="s">
        <v>4</v>
      </c>
      <c r="Q9" s="64"/>
      <c r="R9" s="26" t="s">
        <v>4</v>
      </c>
    </row>
    <row r="10" spans="1:18" s="23" customFormat="1" ht="7.5" customHeight="1" x14ac:dyDescent="0.3">
      <c r="A10" s="2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4"/>
    </row>
    <row r="11" spans="1:18" ht="12.75" customHeight="1" x14ac:dyDescent="0.3">
      <c r="A11" s="22" t="s">
        <v>118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65"/>
    </row>
    <row r="12" spans="1:18" ht="12.75" customHeight="1" x14ac:dyDescent="0.3">
      <c r="A12" s="21" t="s">
        <v>11</v>
      </c>
      <c r="B12" s="21">
        <v>2</v>
      </c>
      <c r="D12" s="21">
        <v>10</v>
      </c>
      <c r="E12" s="21">
        <v>2</v>
      </c>
      <c r="F12" s="21">
        <v>3</v>
      </c>
      <c r="G12" s="23">
        <v>15</v>
      </c>
      <c r="H12" s="23">
        <v>17</v>
      </c>
      <c r="J12" s="21">
        <v>0</v>
      </c>
      <c r="L12" s="21">
        <v>0</v>
      </c>
      <c r="M12" s="21">
        <v>0</v>
      </c>
      <c r="N12" s="21">
        <v>0</v>
      </c>
      <c r="O12" s="23">
        <v>0</v>
      </c>
      <c r="P12" s="23">
        <v>0</v>
      </c>
      <c r="Q12" s="30"/>
      <c r="R12" s="23">
        <v>17</v>
      </c>
    </row>
    <row r="13" spans="1:18" ht="12.75" customHeight="1" x14ac:dyDescent="0.3">
      <c r="A13" s="21" t="s">
        <v>12</v>
      </c>
      <c r="B13" s="21">
        <v>3</v>
      </c>
      <c r="D13" s="21">
        <v>10</v>
      </c>
      <c r="E13" s="21">
        <v>7</v>
      </c>
      <c r="F13" s="21">
        <v>6</v>
      </c>
      <c r="G13" s="23">
        <v>23</v>
      </c>
      <c r="H13" s="23">
        <v>26</v>
      </c>
      <c r="J13" s="21">
        <v>0</v>
      </c>
      <c r="L13" s="21">
        <v>0</v>
      </c>
      <c r="M13" s="21">
        <v>0</v>
      </c>
      <c r="N13" s="21">
        <v>0</v>
      </c>
      <c r="O13" s="23">
        <v>0</v>
      </c>
      <c r="P13" s="23">
        <v>0</v>
      </c>
      <c r="Q13" s="30"/>
      <c r="R13" s="23">
        <v>26</v>
      </c>
    </row>
    <row r="14" spans="1:18" ht="12.75" customHeight="1" x14ac:dyDescent="0.3">
      <c r="A14" s="21" t="s">
        <v>13</v>
      </c>
      <c r="B14" s="21">
        <v>1</v>
      </c>
      <c r="D14" s="21">
        <v>4</v>
      </c>
      <c r="E14" s="21">
        <v>0</v>
      </c>
      <c r="F14" s="21">
        <v>1</v>
      </c>
      <c r="G14" s="23">
        <v>5</v>
      </c>
      <c r="H14" s="23">
        <v>6</v>
      </c>
      <c r="J14" s="21">
        <v>0</v>
      </c>
      <c r="L14" s="21">
        <v>0</v>
      </c>
      <c r="M14" s="21">
        <v>0</v>
      </c>
      <c r="N14" s="21">
        <v>0</v>
      </c>
      <c r="O14" s="23">
        <v>0</v>
      </c>
      <c r="P14" s="23">
        <v>0</v>
      </c>
      <c r="Q14" s="30"/>
      <c r="R14" s="23">
        <v>6</v>
      </c>
    </row>
    <row r="15" spans="1:18" ht="12.75" customHeight="1" x14ac:dyDescent="0.3">
      <c r="A15" s="21" t="s">
        <v>14</v>
      </c>
      <c r="B15" s="21">
        <v>0</v>
      </c>
      <c r="D15" s="21">
        <v>5</v>
      </c>
      <c r="E15" s="21">
        <v>4</v>
      </c>
      <c r="F15" s="21">
        <v>1</v>
      </c>
      <c r="G15" s="23">
        <v>10</v>
      </c>
      <c r="H15" s="23">
        <v>10</v>
      </c>
      <c r="J15" s="21">
        <v>0</v>
      </c>
      <c r="L15" s="21">
        <v>0</v>
      </c>
      <c r="M15" s="21">
        <v>0</v>
      </c>
      <c r="N15" s="21">
        <v>0</v>
      </c>
      <c r="O15" s="23">
        <v>0</v>
      </c>
      <c r="P15" s="23">
        <v>0</v>
      </c>
      <c r="Q15" s="30"/>
      <c r="R15" s="23">
        <v>10</v>
      </c>
    </row>
    <row r="16" spans="1:18" ht="15" customHeight="1" x14ac:dyDescent="0.3">
      <c r="A16" s="21" t="s">
        <v>89</v>
      </c>
      <c r="B16" s="21">
        <v>3</v>
      </c>
      <c r="D16" s="21">
        <v>13</v>
      </c>
      <c r="E16" s="21">
        <v>2</v>
      </c>
      <c r="F16" s="21">
        <v>3</v>
      </c>
      <c r="G16" s="23">
        <v>18</v>
      </c>
      <c r="H16" s="23">
        <v>21</v>
      </c>
      <c r="J16" s="21">
        <v>0</v>
      </c>
      <c r="L16" s="21">
        <v>0</v>
      </c>
      <c r="M16" s="21">
        <v>0</v>
      </c>
      <c r="N16" s="21">
        <v>0</v>
      </c>
      <c r="O16" s="23">
        <v>0</v>
      </c>
      <c r="P16" s="23">
        <v>0</v>
      </c>
      <c r="Q16" s="30"/>
      <c r="R16" s="23">
        <v>21</v>
      </c>
    </row>
    <row r="17" spans="1:18" ht="12.75" customHeight="1" x14ac:dyDescent="0.3">
      <c r="A17" s="21" t="s">
        <v>15</v>
      </c>
      <c r="B17" s="21">
        <v>5</v>
      </c>
      <c r="D17" s="21">
        <v>10</v>
      </c>
      <c r="E17" s="21">
        <v>5</v>
      </c>
      <c r="F17" s="21">
        <v>1</v>
      </c>
      <c r="G17" s="23">
        <v>16</v>
      </c>
      <c r="H17" s="23">
        <v>21</v>
      </c>
      <c r="J17" s="21">
        <v>0</v>
      </c>
      <c r="L17" s="21">
        <v>1</v>
      </c>
      <c r="M17" s="21">
        <v>0</v>
      </c>
      <c r="N17" s="21">
        <v>1</v>
      </c>
      <c r="O17" s="23">
        <v>2</v>
      </c>
      <c r="P17" s="23">
        <v>2</v>
      </c>
      <c r="Q17" s="30"/>
      <c r="R17" s="23">
        <v>23</v>
      </c>
    </row>
    <row r="18" spans="1:18" ht="12.75" customHeight="1" x14ac:dyDescent="0.3">
      <c r="A18" s="21" t="s">
        <v>16</v>
      </c>
      <c r="B18" s="21">
        <v>2</v>
      </c>
      <c r="D18" s="21">
        <v>7</v>
      </c>
      <c r="E18" s="21">
        <v>2</v>
      </c>
      <c r="F18" s="21">
        <v>0</v>
      </c>
      <c r="G18" s="23">
        <v>9</v>
      </c>
      <c r="H18" s="23">
        <v>11</v>
      </c>
      <c r="J18" s="21">
        <v>0</v>
      </c>
      <c r="L18" s="21">
        <v>0</v>
      </c>
      <c r="M18" s="21">
        <v>0</v>
      </c>
      <c r="N18" s="21">
        <v>1</v>
      </c>
      <c r="O18" s="23">
        <v>1</v>
      </c>
      <c r="P18" s="23">
        <v>1</v>
      </c>
      <c r="Q18" s="30"/>
      <c r="R18" s="23">
        <v>12</v>
      </c>
    </row>
    <row r="19" spans="1:18" ht="12.75" customHeight="1" x14ac:dyDescent="0.3">
      <c r="A19" s="31" t="s">
        <v>17</v>
      </c>
      <c r="B19" s="23">
        <v>16</v>
      </c>
      <c r="C19" s="23"/>
      <c r="D19" s="23">
        <v>59</v>
      </c>
      <c r="E19" s="23">
        <v>22</v>
      </c>
      <c r="F19" s="23">
        <v>15</v>
      </c>
      <c r="G19" s="23">
        <v>96</v>
      </c>
      <c r="H19" s="23">
        <v>112</v>
      </c>
      <c r="I19" s="30"/>
      <c r="J19" s="23">
        <v>0</v>
      </c>
      <c r="K19" s="23"/>
      <c r="L19" s="23">
        <v>1</v>
      </c>
      <c r="M19" s="23">
        <v>0</v>
      </c>
      <c r="N19" s="23">
        <v>2</v>
      </c>
      <c r="O19" s="23">
        <v>3</v>
      </c>
      <c r="P19" s="23">
        <v>3</v>
      </c>
      <c r="Q19" s="30"/>
      <c r="R19" s="23">
        <v>115</v>
      </c>
    </row>
    <row r="20" spans="1:18" s="50" customFormat="1" ht="13.5" customHeight="1" x14ac:dyDescent="0.3">
      <c r="A20" s="32" t="s">
        <v>119</v>
      </c>
      <c r="B20" s="33">
        <v>0.14285714285714285</v>
      </c>
      <c r="C20" s="33"/>
      <c r="D20" s="33">
        <v>0.5267857142857143</v>
      </c>
      <c r="E20" s="33">
        <v>0.19642857142857142</v>
      </c>
      <c r="F20" s="33">
        <v>0.13392857142857142</v>
      </c>
      <c r="G20" s="33">
        <v>0.8571428571428571</v>
      </c>
      <c r="H20" s="33">
        <v>1</v>
      </c>
      <c r="I20" s="34"/>
      <c r="J20" s="33">
        <v>0</v>
      </c>
      <c r="K20" s="33"/>
      <c r="L20" s="33">
        <v>0.33333333333333331</v>
      </c>
      <c r="M20" s="33">
        <v>0</v>
      </c>
      <c r="N20" s="33">
        <v>0.66666666666666663</v>
      </c>
      <c r="O20" s="33">
        <v>1</v>
      </c>
      <c r="P20" s="33">
        <v>1</v>
      </c>
      <c r="Q20" s="66"/>
      <c r="R20" s="35"/>
    </row>
    <row r="21" spans="1:18" s="23" customFormat="1" ht="7.5" customHeight="1" x14ac:dyDescent="0.3">
      <c r="A21" s="2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4"/>
    </row>
    <row r="22" spans="1:18" s="23" customFormat="1" ht="12.75" customHeight="1" x14ac:dyDescent="0.3">
      <c r="A22" s="23" t="s">
        <v>24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4"/>
    </row>
    <row r="23" spans="1:18" ht="12.75" customHeight="1" x14ac:dyDescent="0.3">
      <c r="A23" s="21" t="s">
        <v>25</v>
      </c>
      <c r="B23" s="21">
        <v>5</v>
      </c>
      <c r="D23" s="21">
        <v>8</v>
      </c>
      <c r="E23" s="21">
        <v>2</v>
      </c>
      <c r="F23" s="21">
        <v>2</v>
      </c>
      <c r="G23" s="23">
        <v>12</v>
      </c>
      <c r="H23" s="23">
        <v>17</v>
      </c>
      <c r="J23" s="21">
        <v>0</v>
      </c>
      <c r="L23" s="21">
        <v>0</v>
      </c>
      <c r="M23" s="21">
        <v>0</v>
      </c>
      <c r="N23" s="21">
        <v>0</v>
      </c>
      <c r="O23" s="23">
        <v>0</v>
      </c>
      <c r="P23" s="23">
        <v>0</v>
      </c>
      <c r="Q23" s="30"/>
      <c r="R23" s="23">
        <v>17</v>
      </c>
    </row>
    <row r="24" spans="1:18" ht="12.75" customHeight="1" x14ac:dyDescent="0.3">
      <c r="A24" s="21" t="s">
        <v>27</v>
      </c>
      <c r="B24" s="21">
        <v>0</v>
      </c>
      <c r="D24" s="21">
        <v>7</v>
      </c>
      <c r="E24" s="21">
        <v>4</v>
      </c>
      <c r="F24" s="21">
        <v>3</v>
      </c>
      <c r="G24" s="23">
        <v>14</v>
      </c>
      <c r="H24" s="23">
        <v>14</v>
      </c>
      <c r="J24" s="21">
        <v>0</v>
      </c>
      <c r="L24" s="21">
        <v>0</v>
      </c>
      <c r="M24" s="21">
        <v>1</v>
      </c>
      <c r="N24" s="21">
        <v>0</v>
      </c>
      <c r="O24" s="23">
        <v>1</v>
      </c>
      <c r="P24" s="23">
        <v>1</v>
      </c>
      <c r="Q24" s="30"/>
      <c r="R24" s="23">
        <v>15</v>
      </c>
    </row>
    <row r="25" spans="1:18" ht="12.75" customHeight="1" x14ac:dyDescent="0.3">
      <c r="A25" s="21" t="s">
        <v>28</v>
      </c>
      <c r="B25" s="21">
        <v>3</v>
      </c>
      <c r="D25" s="21">
        <v>6</v>
      </c>
      <c r="E25" s="21">
        <v>2</v>
      </c>
      <c r="F25" s="21">
        <v>5</v>
      </c>
      <c r="G25" s="23">
        <v>13</v>
      </c>
      <c r="H25" s="23">
        <v>16</v>
      </c>
      <c r="J25" s="21">
        <v>0</v>
      </c>
      <c r="L25" s="21">
        <v>1</v>
      </c>
      <c r="M25" s="21">
        <v>0</v>
      </c>
      <c r="N25" s="21">
        <v>0</v>
      </c>
      <c r="O25" s="23">
        <v>1</v>
      </c>
      <c r="P25" s="23">
        <v>1</v>
      </c>
      <c r="Q25" s="30"/>
      <c r="R25" s="23">
        <v>17</v>
      </c>
    </row>
    <row r="26" spans="1:18" ht="12.75" customHeight="1" x14ac:dyDescent="0.3">
      <c r="A26" s="21" t="s">
        <v>29</v>
      </c>
      <c r="B26" s="21">
        <v>2</v>
      </c>
      <c r="D26" s="21">
        <v>1</v>
      </c>
      <c r="E26" s="21">
        <v>1</v>
      </c>
      <c r="F26" s="21">
        <v>0</v>
      </c>
      <c r="G26" s="23">
        <v>2</v>
      </c>
      <c r="H26" s="23">
        <v>4</v>
      </c>
      <c r="J26" s="21">
        <v>0</v>
      </c>
      <c r="L26" s="21">
        <v>0</v>
      </c>
      <c r="M26" s="21">
        <v>0</v>
      </c>
      <c r="N26" s="21">
        <v>0</v>
      </c>
      <c r="O26" s="23">
        <v>0</v>
      </c>
      <c r="P26" s="23">
        <v>0</v>
      </c>
      <c r="Q26" s="30"/>
      <c r="R26" s="23">
        <v>4</v>
      </c>
    </row>
    <row r="27" spans="1:18" ht="12.75" customHeight="1" x14ac:dyDescent="0.3">
      <c r="A27" s="21" t="s">
        <v>183</v>
      </c>
      <c r="B27" s="21">
        <v>0</v>
      </c>
      <c r="D27" s="21">
        <v>8</v>
      </c>
      <c r="E27" s="21">
        <v>1</v>
      </c>
      <c r="F27" s="21">
        <v>1</v>
      </c>
      <c r="G27" s="23">
        <v>10</v>
      </c>
      <c r="H27" s="23">
        <v>10</v>
      </c>
      <c r="J27" s="21">
        <v>0</v>
      </c>
      <c r="L27" s="21">
        <v>0</v>
      </c>
      <c r="M27" s="21">
        <v>0</v>
      </c>
      <c r="N27" s="21">
        <v>1</v>
      </c>
      <c r="O27" s="23">
        <v>1</v>
      </c>
      <c r="P27" s="23">
        <v>1</v>
      </c>
      <c r="Q27" s="30"/>
      <c r="R27" s="23">
        <v>11</v>
      </c>
    </row>
    <row r="28" spans="1:18" ht="12.75" customHeight="1" x14ac:dyDescent="0.3">
      <c r="A28" s="21" t="s">
        <v>32</v>
      </c>
      <c r="B28" s="21">
        <v>1</v>
      </c>
      <c r="D28" s="21">
        <v>10</v>
      </c>
      <c r="E28" s="21">
        <v>0</v>
      </c>
      <c r="F28" s="21">
        <v>3</v>
      </c>
      <c r="G28" s="23">
        <v>13</v>
      </c>
      <c r="H28" s="23">
        <v>14</v>
      </c>
      <c r="J28" s="21">
        <v>0</v>
      </c>
      <c r="L28" s="21">
        <v>0</v>
      </c>
      <c r="M28" s="21">
        <v>1</v>
      </c>
      <c r="N28" s="21">
        <v>0</v>
      </c>
      <c r="O28" s="23">
        <v>1</v>
      </c>
      <c r="P28" s="23">
        <v>1</v>
      </c>
      <c r="Q28" s="30"/>
      <c r="R28" s="23">
        <v>15</v>
      </c>
    </row>
    <row r="29" spans="1:18" ht="12.75" customHeight="1" x14ac:dyDescent="0.3">
      <c r="A29" s="21" t="s">
        <v>33</v>
      </c>
      <c r="B29" s="21">
        <v>6</v>
      </c>
      <c r="D29" s="21">
        <v>7</v>
      </c>
      <c r="E29" s="21">
        <v>2</v>
      </c>
      <c r="F29" s="21">
        <v>3</v>
      </c>
      <c r="G29" s="23">
        <v>12</v>
      </c>
      <c r="H29" s="23">
        <v>18</v>
      </c>
      <c r="J29" s="21">
        <v>0</v>
      </c>
      <c r="L29" s="21">
        <v>0</v>
      </c>
      <c r="M29" s="21">
        <v>0</v>
      </c>
      <c r="N29" s="21">
        <v>0</v>
      </c>
      <c r="O29" s="23">
        <v>0</v>
      </c>
      <c r="P29" s="23">
        <v>0</v>
      </c>
      <c r="Q29" s="30"/>
      <c r="R29" s="23">
        <v>18</v>
      </c>
    </row>
    <row r="30" spans="1:18" ht="12.75" customHeight="1" x14ac:dyDescent="0.3">
      <c r="A30" s="21" t="s">
        <v>36</v>
      </c>
      <c r="B30" s="21">
        <v>9</v>
      </c>
      <c r="D30" s="21">
        <v>21</v>
      </c>
      <c r="E30" s="21">
        <v>6</v>
      </c>
      <c r="F30" s="21">
        <v>13</v>
      </c>
      <c r="G30" s="23">
        <v>40</v>
      </c>
      <c r="H30" s="23">
        <v>49</v>
      </c>
      <c r="J30" s="21">
        <v>0</v>
      </c>
      <c r="L30" s="21">
        <v>2</v>
      </c>
      <c r="M30" s="21">
        <v>0</v>
      </c>
      <c r="N30" s="21">
        <v>1</v>
      </c>
      <c r="O30" s="23">
        <v>3</v>
      </c>
      <c r="P30" s="23">
        <v>3</v>
      </c>
      <c r="Q30" s="30"/>
      <c r="R30" s="23">
        <v>52</v>
      </c>
    </row>
    <row r="31" spans="1:18" ht="12.75" customHeight="1" x14ac:dyDescent="0.3">
      <c r="A31" s="21" t="s">
        <v>185</v>
      </c>
      <c r="B31" s="21">
        <v>0</v>
      </c>
      <c r="D31" s="21">
        <v>0</v>
      </c>
      <c r="E31" s="21">
        <v>0</v>
      </c>
      <c r="F31" s="21">
        <v>1</v>
      </c>
      <c r="G31" s="23">
        <v>1</v>
      </c>
      <c r="H31" s="23">
        <v>1</v>
      </c>
      <c r="J31" s="21">
        <v>0</v>
      </c>
      <c r="L31" s="21">
        <v>0</v>
      </c>
      <c r="M31" s="21">
        <v>0</v>
      </c>
      <c r="N31" s="21">
        <v>0</v>
      </c>
      <c r="O31" s="23">
        <v>0</v>
      </c>
      <c r="P31" s="23">
        <v>0</v>
      </c>
      <c r="Q31" s="30"/>
      <c r="R31" s="23">
        <v>1</v>
      </c>
    </row>
    <row r="32" spans="1:18" ht="12.75" customHeight="1" x14ac:dyDescent="0.3">
      <c r="A32" s="21" t="s">
        <v>37</v>
      </c>
      <c r="B32" s="21">
        <v>2</v>
      </c>
      <c r="D32" s="21">
        <v>3</v>
      </c>
      <c r="E32" s="21">
        <v>0</v>
      </c>
      <c r="F32" s="21">
        <v>3</v>
      </c>
      <c r="G32" s="23">
        <v>6</v>
      </c>
      <c r="H32" s="23">
        <v>8</v>
      </c>
      <c r="J32" s="21">
        <v>0</v>
      </c>
      <c r="L32" s="21">
        <v>0</v>
      </c>
      <c r="M32" s="21">
        <v>0</v>
      </c>
      <c r="N32" s="21">
        <v>0</v>
      </c>
      <c r="O32" s="23">
        <v>0</v>
      </c>
      <c r="P32" s="23">
        <v>0</v>
      </c>
      <c r="Q32" s="30"/>
      <c r="R32" s="23">
        <v>8</v>
      </c>
    </row>
    <row r="33" spans="1:18" ht="12.75" customHeight="1" x14ac:dyDescent="0.3">
      <c r="A33" s="31" t="s">
        <v>17</v>
      </c>
      <c r="B33" s="23">
        <v>28</v>
      </c>
      <c r="C33" s="23"/>
      <c r="D33" s="23">
        <v>71</v>
      </c>
      <c r="E33" s="23">
        <v>18</v>
      </c>
      <c r="F33" s="23">
        <v>34</v>
      </c>
      <c r="G33" s="23">
        <v>123</v>
      </c>
      <c r="H33" s="23">
        <v>151</v>
      </c>
      <c r="J33" s="23">
        <v>0</v>
      </c>
      <c r="K33" s="23"/>
      <c r="L33" s="23">
        <v>3</v>
      </c>
      <c r="M33" s="23">
        <v>2</v>
      </c>
      <c r="N33" s="23">
        <v>2</v>
      </c>
      <c r="O33" s="23">
        <v>7</v>
      </c>
      <c r="P33" s="23">
        <v>7</v>
      </c>
      <c r="Q33" s="30"/>
      <c r="R33" s="23">
        <v>158</v>
      </c>
    </row>
    <row r="34" spans="1:18" s="50" customFormat="1" ht="13.5" customHeight="1" x14ac:dyDescent="0.3">
      <c r="A34" s="32" t="s">
        <v>119</v>
      </c>
      <c r="B34" s="33">
        <v>0.18543046357615894</v>
      </c>
      <c r="C34" s="33"/>
      <c r="D34" s="33">
        <v>0.47019867549668876</v>
      </c>
      <c r="E34" s="33">
        <v>0.11920529801324503</v>
      </c>
      <c r="F34" s="33">
        <v>0.2251655629139073</v>
      </c>
      <c r="G34" s="33">
        <v>0.81456953642384111</v>
      </c>
      <c r="H34" s="33">
        <v>1</v>
      </c>
      <c r="I34" s="34"/>
      <c r="J34" s="33">
        <v>0</v>
      </c>
      <c r="K34" s="33"/>
      <c r="L34" s="33">
        <v>0.42857142857142855</v>
      </c>
      <c r="M34" s="33">
        <v>0.2857142857142857</v>
      </c>
      <c r="N34" s="33">
        <v>0.2857142857142857</v>
      </c>
      <c r="O34" s="33">
        <v>0.99999999999999989</v>
      </c>
      <c r="P34" s="33">
        <v>0.99999999999999989</v>
      </c>
      <c r="Q34" s="66"/>
      <c r="R34" s="35"/>
    </row>
    <row r="35" spans="1:18" s="23" customFormat="1" ht="7.5" customHeight="1" x14ac:dyDescent="0.3">
      <c r="A35" s="2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4"/>
    </row>
    <row r="36" spans="1:18" s="23" customFormat="1" ht="12.75" customHeight="1" x14ac:dyDescent="0.3">
      <c r="A36" s="22" t="s">
        <v>38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4"/>
    </row>
    <row r="37" spans="1:18" ht="12.75" customHeight="1" x14ac:dyDescent="0.3">
      <c r="A37" s="21" t="s">
        <v>231</v>
      </c>
      <c r="B37" s="21">
        <v>6</v>
      </c>
      <c r="D37" s="21">
        <v>12</v>
      </c>
      <c r="E37" s="21">
        <v>1</v>
      </c>
      <c r="F37" s="21">
        <v>4</v>
      </c>
      <c r="G37" s="23">
        <v>17</v>
      </c>
      <c r="H37" s="23">
        <v>23</v>
      </c>
      <c r="J37" s="21">
        <v>0</v>
      </c>
      <c r="L37" s="21">
        <v>1</v>
      </c>
      <c r="M37" s="21">
        <v>0</v>
      </c>
      <c r="N37" s="21">
        <v>1</v>
      </c>
      <c r="O37" s="23">
        <v>2</v>
      </c>
      <c r="P37" s="23">
        <v>2</v>
      </c>
      <c r="Q37" s="30"/>
      <c r="R37" s="23">
        <v>25</v>
      </c>
    </row>
    <row r="38" spans="1:18" ht="12.75" customHeight="1" x14ac:dyDescent="0.3">
      <c r="A38" s="31" t="s">
        <v>17</v>
      </c>
      <c r="B38" s="23">
        <v>6</v>
      </c>
      <c r="C38" s="23"/>
      <c r="D38" s="23">
        <v>12</v>
      </c>
      <c r="E38" s="23">
        <v>1</v>
      </c>
      <c r="F38" s="23">
        <v>4</v>
      </c>
      <c r="G38" s="23">
        <v>17</v>
      </c>
      <c r="H38" s="23">
        <v>23</v>
      </c>
      <c r="J38" s="23">
        <v>0</v>
      </c>
      <c r="K38" s="23"/>
      <c r="L38" s="23">
        <v>1</v>
      </c>
      <c r="M38" s="23">
        <v>0</v>
      </c>
      <c r="N38" s="23">
        <v>1</v>
      </c>
      <c r="O38" s="23">
        <v>2</v>
      </c>
      <c r="P38" s="23">
        <v>2</v>
      </c>
      <c r="Q38" s="30"/>
      <c r="R38" s="23">
        <v>25</v>
      </c>
    </row>
    <row r="39" spans="1:18" s="50" customFormat="1" ht="13.5" customHeight="1" x14ac:dyDescent="0.3">
      <c r="A39" s="32" t="s">
        <v>119</v>
      </c>
      <c r="B39" s="33">
        <v>0.2608695652173913</v>
      </c>
      <c r="C39" s="33"/>
      <c r="D39" s="33">
        <v>0.52173913043478259</v>
      </c>
      <c r="E39" s="33">
        <v>4.3478260869565216E-2</v>
      </c>
      <c r="F39" s="33">
        <v>0.17391304347826086</v>
      </c>
      <c r="G39" s="33">
        <v>0.73913043478260865</v>
      </c>
      <c r="H39" s="33">
        <v>1</v>
      </c>
      <c r="I39" s="34"/>
      <c r="J39" s="33">
        <v>0</v>
      </c>
      <c r="K39" s="33"/>
      <c r="L39" s="33">
        <v>0.5</v>
      </c>
      <c r="M39" s="33">
        <v>0</v>
      </c>
      <c r="N39" s="33">
        <v>0.5</v>
      </c>
      <c r="O39" s="33">
        <v>1</v>
      </c>
      <c r="P39" s="33">
        <v>1</v>
      </c>
      <c r="Q39" s="66"/>
      <c r="R39" s="35"/>
    </row>
    <row r="40" spans="1:18" s="23" customFormat="1" ht="7.5" customHeight="1" x14ac:dyDescent="0.3">
      <c r="A40" s="2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4"/>
    </row>
    <row r="41" spans="1:18" s="23" customFormat="1" ht="7.5" customHeight="1" x14ac:dyDescent="0.3">
      <c r="A41" s="2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4"/>
    </row>
    <row r="42" spans="1:18" s="23" customFormat="1" ht="12.75" customHeight="1" x14ac:dyDescent="0.3">
      <c r="A42" s="23" t="s">
        <v>219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4"/>
    </row>
    <row r="43" spans="1:18" ht="12.75" customHeight="1" x14ac:dyDescent="0.3">
      <c r="A43" s="61" t="s">
        <v>214</v>
      </c>
      <c r="B43" s="21">
        <v>3</v>
      </c>
      <c r="D43" s="21">
        <v>13</v>
      </c>
      <c r="E43" s="21">
        <v>4</v>
      </c>
      <c r="F43" s="21">
        <v>13</v>
      </c>
      <c r="G43" s="23">
        <v>30</v>
      </c>
      <c r="H43" s="23">
        <v>33</v>
      </c>
      <c r="J43" s="21">
        <v>0</v>
      </c>
      <c r="L43" s="21">
        <v>4</v>
      </c>
      <c r="M43" s="21">
        <v>2</v>
      </c>
      <c r="N43" s="21">
        <v>1</v>
      </c>
      <c r="O43" s="23">
        <v>7</v>
      </c>
      <c r="P43" s="23">
        <v>7</v>
      </c>
      <c r="Q43" s="30"/>
      <c r="R43" s="23">
        <v>40</v>
      </c>
    </row>
    <row r="44" spans="1:18" ht="12.75" customHeight="1" x14ac:dyDescent="0.3">
      <c r="A44" s="61" t="s">
        <v>213</v>
      </c>
      <c r="B44" s="21">
        <v>0</v>
      </c>
      <c r="D44" s="21">
        <v>3</v>
      </c>
      <c r="E44" s="21">
        <v>0</v>
      </c>
      <c r="F44" s="21">
        <v>3</v>
      </c>
      <c r="G44" s="23">
        <v>6</v>
      </c>
      <c r="H44" s="23">
        <v>6</v>
      </c>
      <c r="J44" s="21">
        <v>0</v>
      </c>
      <c r="L44" s="21">
        <v>3</v>
      </c>
      <c r="M44" s="21">
        <v>0</v>
      </c>
      <c r="N44" s="21">
        <v>0</v>
      </c>
      <c r="O44" s="23">
        <v>3</v>
      </c>
      <c r="P44" s="23">
        <v>3</v>
      </c>
      <c r="Q44" s="30"/>
      <c r="R44" s="23">
        <v>9</v>
      </c>
    </row>
    <row r="45" spans="1:18" ht="12.75" customHeight="1" x14ac:dyDescent="0.3">
      <c r="A45" s="61" t="s">
        <v>233</v>
      </c>
      <c r="B45" s="21">
        <v>3</v>
      </c>
      <c r="D45" s="21">
        <v>0</v>
      </c>
      <c r="E45" s="21">
        <v>1</v>
      </c>
      <c r="F45" s="21">
        <v>0</v>
      </c>
      <c r="G45" s="23">
        <v>1</v>
      </c>
      <c r="H45" s="23">
        <v>4</v>
      </c>
      <c r="J45" s="21">
        <v>1</v>
      </c>
      <c r="L45" s="21">
        <v>1</v>
      </c>
      <c r="M45" s="21">
        <v>0</v>
      </c>
      <c r="N45" s="21">
        <v>0</v>
      </c>
      <c r="O45" s="23">
        <v>1</v>
      </c>
      <c r="P45" s="23">
        <v>2</v>
      </c>
      <c r="Q45" s="30"/>
      <c r="R45" s="23">
        <v>6</v>
      </c>
    </row>
    <row r="46" spans="1:18" ht="12.75" customHeight="1" x14ac:dyDescent="0.3">
      <c r="A46" s="61" t="s">
        <v>212</v>
      </c>
      <c r="B46" s="21">
        <v>0</v>
      </c>
      <c r="D46" s="21">
        <v>1</v>
      </c>
      <c r="E46" s="21">
        <v>0</v>
      </c>
      <c r="F46" s="21">
        <v>2</v>
      </c>
      <c r="G46" s="23">
        <v>3</v>
      </c>
      <c r="H46" s="23">
        <v>3</v>
      </c>
      <c r="J46" s="21">
        <v>0</v>
      </c>
      <c r="L46" s="21">
        <v>0</v>
      </c>
      <c r="M46" s="21">
        <v>0</v>
      </c>
      <c r="N46" s="21">
        <v>0</v>
      </c>
      <c r="O46" s="23">
        <v>0</v>
      </c>
      <c r="P46" s="23">
        <v>0</v>
      </c>
      <c r="Q46" s="30"/>
      <c r="R46" s="23">
        <v>3</v>
      </c>
    </row>
    <row r="47" spans="1:18" ht="12.75" customHeight="1" x14ac:dyDescent="0.3">
      <c r="A47" s="31" t="s">
        <v>39</v>
      </c>
      <c r="B47" s="23">
        <v>6</v>
      </c>
      <c r="C47" s="23"/>
      <c r="D47" s="23">
        <v>17</v>
      </c>
      <c r="E47" s="23">
        <v>5</v>
      </c>
      <c r="F47" s="23">
        <v>18</v>
      </c>
      <c r="G47" s="23">
        <v>40</v>
      </c>
      <c r="H47" s="23">
        <v>46</v>
      </c>
      <c r="J47" s="23">
        <v>1</v>
      </c>
      <c r="K47" s="23"/>
      <c r="L47" s="23">
        <v>8</v>
      </c>
      <c r="M47" s="23">
        <v>2</v>
      </c>
      <c r="N47" s="23">
        <v>1</v>
      </c>
      <c r="O47" s="23">
        <v>11</v>
      </c>
      <c r="P47" s="23">
        <v>12</v>
      </c>
      <c r="Q47" s="30"/>
      <c r="R47" s="23">
        <v>58</v>
      </c>
    </row>
    <row r="48" spans="1:18" s="50" customFormat="1" ht="13.5" customHeight="1" x14ac:dyDescent="0.3">
      <c r="A48" s="32" t="s">
        <v>119</v>
      </c>
      <c r="B48" s="33">
        <v>0.13043478260869565</v>
      </c>
      <c r="C48" s="33"/>
      <c r="D48" s="33">
        <v>0.36956521739130432</v>
      </c>
      <c r="E48" s="33">
        <v>0.10869565217391304</v>
      </c>
      <c r="F48" s="33">
        <v>0.39130434782608697</v>
      </c>
      <c r="G48" s="33">
        <v>0.86956521739130432</v>
      </c>
      <c r="H48" s="33">
        <v>1</v>
      </c>
      <c r="I48" s="34"/>
      <c r="J48" s="33">
        <v>8.3333333333333329E-2</v>
      </c>
      <c r="K48" s="33"/>
      <c r="L48" s="33">
        <v>0.66666666666666663</v>
      </c>
      <c r="M48" s="33">
        <v>0.16666666666666666</v>
      </c>
      <c r="N48" s="33">
        <v>8.3333333333333329E-2</v>
      </c>
      <c r="O48" s="33">
        <v>0.91666666666666663</v>
      </c>
      <c r="P48" s="33">
        <v>1</v>
      </c>
      <c r="Q48" s="66"/>
      <c r="R48" s="35"/>
    </row>
    <row r="49" spans="1:18" s="23" customFormat="1" ht="7.5" customHeight="1" x14ac:dyDescent="0.3">
      <c r="A49" s="2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4"/>
    </row>
    <row r="50" spans="1:18" s="23" customFormat="1" ht="12.75" customHeight="1" x14ac:dyDescent="0.3">
      <c r="A50" s="23" t="s">
        <v>42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4"/>
    </row>
    <row r="51" spans="1:18" ht="12.75" customHeight="1" x14ac:dyDescent="0.3">
      <c r="A51" s="21" t="s">
        <v>43</v>
      </c>
      <c r="B51" s="21">
        <v>7</v>
      </c>
      <c r="D51" s="21">
        <v>19</v>
      </c>
      <c r="E51" s="21">
        <v>4</v>
      </c>
      <c r="F51" s="21">
        <v>9</v>
      </c>
      <c r="G51" s="23">
        <v>32</v>
      </c>
      <c r="H51" s="23">
        <v>39</v>
      </c>
      <c r="J51" s="21">
        <v>0</v>
      </c>
      <c r="L51" s="21">
        <v>0</v>
      </c>
      <c r="M51" s="21">
        <v>0</v>
      </c>
      <c r="N51" s="21">
        <v>0</v>
      </c>
      <c r="O51" s="23">
        <v>0</v>
      </c>
      <c r="P51" s="23">
        <v>0</v>
      </c>
      <c r="Q51" s="30"/>
      <c r="R51" s="23">
        <v>39</v>
      </c>
    </row>
    <row r="52" spans="1:18" ht="12.75" customHeight="1" x14ac:dyDescent="0.3">
      <c r="A52" s="21" t="s">
        <v>44</v>
      </c>
      <c r="B52" s="21">
        <v>17</v>
      </c>
      <c r="D52" s="21">
        <v>52</v>
      </c>
      <c r="E52" s="21">
        <v>19</v>
      </c>
      <c r="F52" s="21">
        <v>11</v>
      </c>
      <c r="G52" s="23">
        <v>82</v>
      </c>
      <c r="H52" s="23">
        <v>99</v>
      </c>
      <c r="J52" s="21">
        <v>1</v>
      </c>
      <c r="L52" s="21">
        <v>0</v>
      </c>
      <c r="M52" s="21">
        <v>2</v>
      </c>
      <c r="N52" s="21">
        <v>4</v>
      </c>
      <c r="O52" s="23">
        <v>6</v>
      </c>
      <c r="P52" s="23">
        <v>7</v>
      </c>
      <c r="Q52" s="30"/>
      <c r="R52" s="23">
        <v>106</v>
      </c>
    </row>
    <row r="53" spans="1:18" s="51" customFormat="1" ht="12.75" customHeight="1" x14ac:dyDescent="0.3">
      <c r="A53" s="40" t="s">
        <v>91</v>
      </c>
      <c r="B53" s="21">
        <v>12</v>
      </c>
      <c r="C53" s="21"/>
      <c r="D53" s="21">
        <v>38</v>
      </c>
      <c r="E53" s="21">
        <v>6</v>
      </c>
      <c r="F53" s="21">
        <v>15</v>
      </c>
      <c r="G53" s="23">
        <v>59</v>
      </c>
      <c r="H53" s="23">
        <v>71</v>
      </c>
      <c r="I53" s="21"/>
      <c r="J53" s="21">
        <v>0</v>
      </c>
      <c r="K53" s="21"/>
      <c r="L53" s="21">
        <v>2</v>
      </c>
      <c r="M53" s="21">
        <v>0</v>
      </c>
      <c r="N53" s="21">
        <v>0</v>
      </c>
      <c r="O53" s="23">
        <v>2</v>
      </c>
      <c r="P53" s="23">
        <v>2</v>
      </c>
      <c r="Q53" s="30"/>
      <c r="R53" s="23">
        <v>73</v>
      </c>
    </row>
    <row r="54" spans="1:18" ht="12.75" customHeight="1" x14ac:dyDescent="0.3">
      <c r="A54" s="31" t="s">
        <v>17</v>
      </c>
      <c r="B54" s="23">
        <v>36</v>
      </c>
      <c r="C54" s="23"/>
      <c r="D54" s="23">
        <v>109</v>
      </c>
      <c r="E54" s="23">
        <v>29</v>
      </c>
      <c r="F54" s="23">
        <v>35</v>
      </c>
      <c r="G54" s="23">
        <v>173</v>
      </c>
      <c r="H54" s="23">
        <v>209</v>
      </c>
      <c r="J54" s="23">
        <v>1</v>
      </c>
      <c r="K54" s="23"/>
      <c r="L54" s="23">
        <v>2</v>
      </c>
      <c r="M54" s="23">
        <v>2</v>
      </c>
      <c r="N54" s="23">
        <v>4</v>
      </c>
      <c r="O54" s="23">
        <v>8</v>
      </c>
      <c r="P54" s="23">
        <v>9</v>
      </c>
      <c r="Q54" s="30"/>
      <c r="R54" s="23">
        <v>218</v>
      </c>
    </row>
    <row r="55" spans="1:18" s="50" customFormat="1" ht="13.5" customHeight="1" x14ac:dyDescent="0.3">
      <c r="A55" s="32" t="s">
        <v>119</v>
      </c>
      <c r="B55" s="33">
        <v>0.17224880382775121</v>
      </c>
      <c r="C55" s="33"/>
      <c r="D55" s="33">
        <v>0.52153110047846885</v>
      </c>
      <c r="E55" s="33">
        <v>0.13875598086124402</v>
      </c>
      <c r="F55" s="33">
        <v>0.1674641148325359</v>
      </c>
      <c r="G55" s="33">
        <v>0.82775119617224868</v>
      </c>
      <c r="H55" s="33">
        <v>0.99999999999999989</v>
      </c>
      <c r="I55" s="34"/>
      <c r="J55" s="33">
        <v>0.1111111111111111</v>
      </c>
      <c r="K55" s="33"/>
      <c r="L55" s="33">
        <v>0.22222222222222221</v>
      </c>
      <c r="M55" s="33">
        <v>0.22222222222222221</v>
      </c>
      <c r="N55" s="33">
        <v>0.44444444444444442</v>
      </c>
      <c r="O55" s="33">
        <v>0.88888888888888884</v>
      </c>
      <c r="P55" s="33">
        <v>1</v>
      </c>
      <c r="Q55" s="66"/>
      <c r="R55" s="35"/>
    </row>
    <row r="56" spans="1:18" s="23" customFormat="1" ht="7.5" customHeight="1" x14ac:dyDescent="0.3">
      <c r="A56" s="2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4"/>
    </row>
    <row r="57" spans="1:18" s="23" customFormat="1" x14ac:dyDescent="0.3">
      <c r="A57" s="22" t="s">
        <v>131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8" s="23" customFormat="1" ht="12.75" customHeight="1" x14ac:dyDescent="0.3">
      <c r="A58" s="41" t="s">
        <v>47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4"/>
    </row>
    <row r="59" spans="1:18" ht="12.75" customHeight="1" x14ac:dyDescent="0.3">
      <c r="A59" s="3" t="s">
        <v>46</v>
      </c>
      <c r="B59" s="21">
        <v>0</v>
      </c>
      <c r="D59" s="21">
        <v>13</v>
      </c>
      <c r="E59" s="21">
        <v>2</v>
      </c>
      <c r="F59" s="21">
        <v>3</v>
      </c>
      <c r="G59" s="23">
        <v>18</v>
      </c>
      <c r="H59" s="23">
        <v>18</v>
      </c>
      <c r="J59" s="21">
        <v>0</v>
      </c>
      <c r="L59" s="21">
        <v>0</v>
      </c>
      <c r="M59" s="21">
        <v>1</v>
      </c>
      <c r="N59" s="21">
        <v>0</v>
      </c>
      <c r="O59" s="23">
        <v>1</v>
      </c>
      <c r="P59" s="23">
        <v>1</v>
      </c>
      <c r="Q59" s="30"/>
      <c r="R59" s="23">
        <v>19</v>
      </c>
    </row>
    <row r="60" spans="1:18" ht="12.75" customHeight="1" x14ac:dyDescent="0.3">
      <c r="A60" s="21" t="s">
        <v>48</v>
      </c>
      <c r="B60" s="21">
        <v>0</v>
      </c>
      <c r="D60" s="21">
        <v>5</v>
      </c>
      <c r="E60" s="21">
        <v>0</v>
      </c>
      <c r="F60" s="21">
        <v>3</v>
      </c>
      <c r="G60" s="23">
        <v>8</v>
      </c>
      <c r="H60" s="23">
        <v>8</v>
      </c>
      <c r="J60" s="21">
        <v>0</v>
      </c>
      <c r="L60" s="21">
        <v>0</v>
      </c>
      <c r="M60" s="21">
        <v>0</v>
      </c>
      <c r="N60" s="21">
        <v>0</v>
      </c>
      <c r="O60" s="23">
        <v>0</v>
      </c>
      <c r="P60" s="23">
        <v>0</v>
      </c>
      <c r="Q60" s="30"/>
      <c r="R60" s="23">
        <v>8</v>
      </c>
    </row>
    <row r="61" spans="1:18" ht="12.75" customHeight="1" x14ac:dyDescent="0.3">
      <c r="A61" s="3" t="s">
        <v>49</v>
      </c>
      <c r="B61" s="21">
        <v>2</v>
      </c>
      <c r="D61" s="21">
        <v>8</v>
      </c>
      <c r="E61" s="21">
        <v>3</v>
      </c>
      <c r="F61" s="21">
        <v>10</v>
      </c>
      <c r="G61" s="23">
        <v>21</v>
      </c>
      <c r="H61" s="23">
        <v>23</v>
      </c>
      <c r="J61" s="21">
        <v>0</v>
      </c>
      <c r="L61" s="21">
        <v>0</v>
      </c>
      <c r="M61" s="21">
        <v>0</v>
      </c>
      <c r="N61" s="21">
        <v>0</v>
      </c>
      <c r="O61" s="23">
        <v>0</v>
      </c>
      <c r="P61" s="23">
        <v>0</v>
      </c>
      <c r="Q61" s="30"/>
      <c r="R61" s="23">
        <v>23</v>
      </c>
    </row>
    <row r="62" spans="1:18" ht="12.75" customHeight="1" x14ac:dyDescent="0.3">
      <c r="A62" s="31" t="s">
        <v>17</v>
      </c>
      <c r="B62" s="23">
        <v>2</v>
      </c>
      <c r="C62" s="23"/>
      <c r="D62" s="23">
        <v>26</v>
      </c>
      <c r="E62" s="23">
        <v>5</v>
      </c>
      <c r="F62" s="23">
        <v>16</v>
      </c>
      <c r="G62" s="23">
        <v>47</v>
      </c>
      <c r="H62" s="23">
        <v>49</v>
      </c>
      <c r="J62" s="23">
        <v>0</v>
      </c>
      <c r="K62" s="23"/>
      <c r="L62" s="23">
        <v>0</v>
      </c>
      <c r="M62" s="23">
        <v>1</v>
      </c>
      <c r="N62" s="23">
        <v>0</v>
      </c>
      <c r="O62" s="23">
        <v>1</v>
      </c>
      <c r="P62" s="23">
        <v>1</v>
      </c>
      <c r="Q62" s="30"/>
      <c r="R62" s="23">
        <v>50</v>
      </c>
    </row>
    <row r="63" spans="1:18" s="50" customFormat="1" ht="13.5" customHeight="1" x14ac:dyDescent="0.3">
      <c r="A63" s="32" t="s">
        <v>119</v>
      </c>
      <c r="B63" s="33">
        <v>4.0816326530612242E-2</v>
      </c>
      <c r="C63" s="33"/>
      <c r="D63" s="33">
        <v>0.53061224489795922</v>
      </c>
      <c r="E63" s="33">
        <v>0.10204081632653061</v>
      </c>
      <c r="F63" s="33">
        <v>0.32653061224489793</v>
      </c>
      <c r="G63" s="33">
        <v>0.95918367346938771</v>
      </c>
      <c r="H63" s="33">
        <v>1</v>
      </c>
      <c r="I63" s="34"/>
      <c r="J63" s="33">
        <v>0</v>
      </c>
      <c r="K63" s="33"/>
      <c r="L63" s="33">
        <v>0</v>
      </c>
      <c r="M63" s="33">
        <v>1</v>
      </c>
      <c r="N63" s="33">
        <v>0</v>
      </c>
      <c r="O63" s="33">
        <v>1</v>
      </c>
      <c r="P63" s="33">
        <v>1</v>
      </c>
      <c r="Q63" s="66"/>
      <c r="R63" s="35"/>
    </row>
    <row r="64" spans="1:18" s="23" customFormat="1" ht="7.5" customHeight="1" x14ac:dyDescent="0.3">
      <c r="A64" s="2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4"/>
    </row>
    <row r="65" spans="1:18" s="23" customFormat="1" ht="12.75" customHeight="1" x14ac:dyDescent="0.3">
      <c r="A65" s="23" t="s">
        <v>50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4"/>
    </row>
    <row r="66" spans="1:18" x14ac:dyDescent="0.3">
      <c r="A66" s="21" t="s">
        <v>51</v>
      </c>
      <c r="B66" s="21">
        <v>5</v>
      </c>
      <c r="D66" s="21">
        <v>14</v>
      </c>
      <c r="E66" s="21">
        <v>4</v>
      </c>
      <c r="F66" s="21">
        <v>4</v>
      </c>
      <c r="G66" s="23">
        <v>22</v>
      </c>
      <c r="H66" s="23">
        <v>27</v>
      </c>
      <c r="J66" s="21">
        <v>0</v>
      </c>
      <c r="L66" s="21">
        <v>2</v>
      </c>
      <c r="M66" s="21">
        <v>0</v>
      </c>
      <c r="N66" s="21">
        <v>1</v>
      </c>
      <c r="O66" s="23">
        <v>3</v>
      </c>
      <c r="P66" s="23">
        <v>3</v>
      </c>
      <c r="Q66" s="30"/>
      <c r="R66" s="23">
        <v>30</v>
      </c>
    </row>
    <row r="67" spans="1:18" ht="12.75" customHeight="1" x14ac:dyDescent="0.3">
      <c r="A67" s="21" t="s">
        <v>52</v>
      </c>
      <c r="B67" s="21">
        <v>3</v>
      </c>
      <c r="D67" s="21">
        <v>7</v>
      </c>
      <c r="E67" s="21">
        <v>2</v>
      </c>
      <c r="F67" s="21">
        <v>1</v>
      </c>
      <c r="G67" s="23">
        <v>10</v>
      </c>
      <c r="H67" s="23">
        <v>13</v>
      </c>
      <c r="J67" s="21">
        <v>0</v>
      </c>
      <c r="L67" s="21">
        <v>0</v>
      </c>
      <c r="M67" s="21">
        <v>0</v>
      </c>
      <c r="N67" s="21">
        <v>0</v>
      </c>
      <c r="O67" s="23">
        <v>0</v>
      </c>
      <c r="P67" s="23">
        <v>0</v>
      </c>
      <c r="Q67" s="30"/>
      <c r="R67" s="23">
        <v>13</v>
      </c>
    </row>
    <row r="68" spans="1:18" x14ac:dyDescent="0.3">
      <c r="A68" s="21" t="s">
        <v>220</v>
      </c>
      <c r="B68" s="21">
        <v>0</v>
      </c>
      <c r="D68" s="21">
        <v>1</v>
      </c>
      <c r="E68" s="21">
        <v>0</v>
      </c>
      <c r="F68" s="21">
        <v>0</v>
      </c>
      <c r="G68" s="23">
        <v>1</v>
      </c>
      <c r="H68" s="23">
        <v>1</v>
      </c>
      <c r="J68" s="21">
        <v>0</v>
      </c>
      <c r="L68" s="21">
        <v>0</v>
      </c>
      <c r="M68" s="21">
        <v>0</v>
      </c>
      <c r="N68" s="21">
        <v>0</v>
      </c>
      <c r="O68" s="23">
        <v>0</v>
      </c>
      <c r="P68" s="23">
        <v>0</v>
      </c>
      <c r="Q68" s="30"/>
      <c r="R68" s="23">
        <v>1</v>
      </c>
    </row>
    <row r="69" spans="1:18" ht="12.75" customHeight="1" x14ac:dyDescent="0.3">
      <c r="A69" s="21" t="s">
        <v>211</v>
      </c>
      <c r="B69" s="21">
        <v>0</v>
      </c>
      <c r="D69" s="21">
        <v>0</v>
      </c>
      <c r="E69" s="21">
        <v>0</v>
      </c>
      <c r="F69" s="21">
        <v>0</v>
      </c>
      <c r="G69" s="23">
        <v>0</v>
      </c>
      <c r="H69" s="23">
        <v>0</v>
      </c>
      <c r="J69" s="21">
        <v>0</v>
      </c>
      <c r="L69" s="21">
        <v>0</v>
      </c>
      <c r="M69" s="21">
        <v>0</v>
      </c>
      <c r="N69" s="21">
        <v>0</v>
      </c>
      <c r="O69" s="23">
        <v>0</v>
      </c>
      <c r="P69" s="23">
        <v>0</v>
      </c>
      <c r="Q69" s="30"/>
      <c r="R69" s="23">
        <v>0</v>
      </c>
    </row>
    <row r="70" spans="1:18" ht="15" customHeight="1" x14ac:dyDescent="0.3">
      <c r="A70" s="21" t="s">
        <v>221</v>
      </c>
      <c r="B70" s="21">
        <v>0</v>
      </c>
      <c r="D70" s="21">
        <v>0</v>
      </c>
      <c r="E70" s="21">
        <v>0</v>
      </c>
      <c r="F70" s="21">
        <v>2</v>
      </c>
      <c r="G70" s="23">
        <v>2</v>
      </c>
      <c r="H70" s="23">
        <v>2</v>
      </c>
      <c r="J70" s="21">
        <v>0</v>
      </c>
      <c r="L70" s="21">
        <v>0</v>
      </c>
      <c r="M70" s="21">
        <v>0</v>
      </c>
      <c r="N70" s="21">
        <v>0</v>
      </c>
      <c r="O70" s="23">
        <v>0</v>
      </c>
      <c r="P70" s="23">
        <v>0</v>
      </c>
      <c r="Q70" s="30"/>
      <c r="R70" s="23">
        <v>2</v>
      </c>
    </row>
    <row r="71" spans="1:18" ht="12.75" customHeight="1" x14ac:dyDescent="0.3">
      <c r="A71" s="21" t="s">
        <v>92</v>
      </c>
      <c r="B71" s="21">
        <v>10</v>
      </c>
      <c r="D71" s="21">
        <v>18</v>
      </c>
      <c r="E71" s="21">
        <v>6</v>
      </c>
      <c r="F71" s="21">
        <v>11</v>
      </c>
      <c r="G71" s="23">
        <v>35</v>
      </c>
      <c r="H71" s="23">
        <v>45</v>
      </c>
      <c r="J71" s="21">
        <v>0</v>
      </c>
      <c r="L71" s="21">
        <v>0</v>
      </c>
      <c r="M71" s="21">
        <v>0</v>
      </c>
      <c r="N71" s="21">
        <v>0</v>
      </c>
      <c r="O71" s="23">
        <v>0</v>
      </c>
      <c r="P71" s="23">
        <v>0</v>
      </c>
      <c r="Q71" s="30"/>
      <c r="R71" s="23">
        <v>45</v>
      </c>
    </row>
    <row r="72" spans="1:18" ht="12.75" customHeight="1" x14ac:dyDescent="0.3">
      <c r="A72" s="31" t="s">
        <v>17</v>
      </c>
      <c r="B72" s="23">
        <v>18</v>
      </c>
      <c r="C72" s="23"/>
      <c r="D72" s="23">
        <v>40</v>
      </c>
      <c r="E72" s="23">
        <v>12</v>
      </c>
      <c r="F72" s="23">
        <v>18</v>
      </c>
      <c r="G72" s="23">
        <v>70</v>
      </c>
      <c r="H72" s="23">
        <v>88</v>
      </c>
      <c r="J72" s="23">
        <v>0</v>
      </c>
      <c r="K72" s="23"/>
      <c r="L72" s="23">
        <v>2</v>
      </c>
      <c r="M72" s="23">
        <v>0</v>
      </c>
      <c r="N72" s="23">
        <v>1</v>
      </c>
      <c r="O72" s="23">
        <v>3</v>
      </c>
      <c r="P72" s="23">
        <v>3</v>
      </c>
      <c r="Q72" s="30"/>
      <c r="R72" s="23">
        <v>91</v>
      </c>
    </row>
    <row r="73" spans="1:18" s="50" customFormat="1" ht="13.5" customHeight="1" x14ac:dyDescent="0.3">
      <c r="A73" s="32" t="s">
        <v>119</v>
      </c>
      <c r="B73" s="33">
        <v>0.20454545454545456</v>
      </c>
      <c r="C73" s="33"/>
      <c r="D73" s="33">
        <v>0.45454545454545453</v>
      </c>
      <c r="E73" s="33">
        <v>0.13636363636363635</v>
      </c>
      <c r="F73" s="33">
        <v>0.20454545454545456</v>
      </c>
      <c r="G73" s="33">
        <v>0.79545454545454541</v>
      </c>
      <c r="H73" s="33">
        <v>1</v>
      </c>
      <c r="I73" s="34"/>
      <c r="J73" s="33">
        <v>0</v>
      </c>
      <c r="K73" s="33"/>
      <c r="L73" s="33">
        <v>0.66666666666666663</v>
      </c>
      <c r="M73" s="33">
        <v>0</v>
      </c>
      <c r="N73" s="33">
        <v>0.33333333333333331</v>
      </c>
      <c r="O73" s="33">
        <v>1</v>
      </c>
      <c r="P73" s="33">
        <v>1</v>
      </c>
      <c r="Q73" s="66"/>
      <c r="R73" s="35"/>
    </row>
    <row r="74" spans="1:18" s="50" customFormat="1" ht="7.5" customHeight="1" x14ac:dyDescent="0.3">
      <c r="A74" s="2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4"/>
      <c r="R74" s="23"/>
    </row>
    <row r="75" spans="1:18" s="50" customFormat="1" ht="15" customHeight="1" x14ac:dyDescent="0.3">
      <c r="A75" s="23" t="s">
        <v>224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4"/>
      <c r="R75" s="23"/>
    </row>
    <row r="76" spans="1:18" s="50" customFormat="1" ht="7.5" customHeight="1" x14ac:dyDescent="0.3">
      <c r="A76" s="2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4"/>
      <c r="R76" s="23"/>
    </row>
    <row r="77" spans="1:18" s="50" customFormat="1" ht="15" customHeight="1" x14ac:dyDescent="0.3">
      <c r="A77" s="42" t="s">
        <v>225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4"/>
      <c r="R77" s="23"/>
    </row>
    <row r="78" spans="1:18" s="50" customFormat="1" ht="13.5" customHeight="1" x14ac:dyDescent="0.3">
      <c r="A78" s="39" t="s">
        <v>54</v>
      </c>
      <c r="B78" s="21">
        <v>1</v>
      </c>
      <c r="C78" s="21"/>
      <c r="D78" s="21">
        <v>6</v>
      </c>
      <c r="E78" s="21">
        <v>0</v>
      </c>
      <c r="F78" s="21">
        <v>0</v>
      </c>
      <c r="G78" s="23">
        <v>6</v>
      </c>
      <c r="H78" s="23">
        <v>7</v>
      </c>
      <c r="I78" s="21"/>
      <c r="J78" s="21">
        <v>0</v>
      </c>
      <c r="K78" s="21"/>
      <c r="L78" s="21">
        <v>0</v>
      </c>
      <c r="M78" s="21">
        <v>0</v>
      </c>
      <c r="N78" s="21">
        <v>0</v>
      </c>
      <c r="O78" s="23">
        <v>0</v>
      </c>
      <c r="P78" s="23">
        <v>0</v>
      </c>
      <c r="Q78" s="30"/>
      <c r="R78" s="23">
        <v>7</v>
      </c>
    </row>
    <row r="79" spans="1:18" s="50" customFormat="1" ht="13.5" customHeight="1" x14ac:dyDescent="0.3">
      <c r="A79" s="43" t="s">
        <v>17</v>
      </c>
      <c r="B79" s="23">
        <v>1</v>
      </c>
      <c r="C79" s="23"/>
      <c r="D79" s="23">
        <v>6</v>
      </c>
      <c r="E79" s="23">
        <v>0</v>
      </c>
      <c r="F79" s="23">
        <v>0</v>
      </c>
      <c r="G79" s="23">
        <v>6</v>
      </c>
      <c r="H79" s="23">
        <v>7</v>
      </c>
      <c r="I79" s="21"/>
      <c r="J79" s="23">
        <v>0</v>
      </c>
      <c r="K79" s="23"/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30"/>
      <c r="R79" s="23">
        <v>7</v>
      </c>
    </row>
    <row r="80" spans="1:18" s="50" customFormat="1" ht="13.5" customHeight="1" x14ac:dyDescent="0.3">
      <c r="A80" s="44" t="s">
        <v>119</v>
      </c>
      <c r="B80" s="33">
        <v>0.14285714285714285</v>
      </c>
      <c r="C80" s="33"/>
      <c r="D80" s="33">
        <v>0.8571428571428571</v>
      </c>
      <c r="E80" s="33">
        <v>0</v>
      </c>
      <c r="F80" s="33">
        <v>0</v>
      </c>
      <c r="G80" s="33">
        <v>0.8571428571428571</v>
      </c>
      <c r="H80" s="33">
        <v>1</v>
      </c>
      <c r="I80" s="34"/>
      <c r="J80" s="33"/>
      <c r="K80" s="33"/>
      <c r="L80" s="33"/>
      <c r="M80" s="33"/>
      <c r="N80" s="33"/>
      <c r="O80" s="33"/>
      <c r="P80" s="33"/>
      <c r="Q80" s="66"/>
      <c r="R80" s="35"/>
    </row>
    <row r="81" spans="1:18" s="50" customFormat="1" ht="7.5" customHeight="1" x14ac:dyDescent="0.3">
      <c r="A81" s="4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4"/>
      <c r="R81" s="23"/>
    </row>
    <row r="82" spans="1:18" s="50" customFormat="1" ht="15" customHeight="1" x14ac:dyDescent="0.3">
      <c r="A82" s="42" t="s">
        <v>226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4"/>
      <c r="R82" s="23"/>
    </row>
    <row r="83" spans="1:18" s="50" customFormat="1" ht="13.5" customHeight="1" x14ac:dyDescent="0.3">
      <c r="A83" s="39" t="s">
        <v>136</v>
      </c>
      <c r="B83" s="21">
        <v>1</v>
      </c>
      <c r="C83" s="21"/>
      <c r="D83" s="21">
        <v>3</v>
      </c>
      <c r="E83" s="21">
        <v>2</v>
      </c>
      <c r="F83" s="21">
        <v>6</v>
      </c>
      <c r="G83" s="23">
        <v>11</v>
      </c>
      <c r="H83" s="23">
        <v>12</v>
      </c>
      <c r="I83" s="21"/>
      <c r="J83" s="21">
        <v>0</v>
      </c>
      <c r="K83" s="21"/>
      <c r="L83" s="21">
        <v>0</v>
      </c>
      <c r="M83" s="21">
        <v>0</v>
      </c>
      <c r="N83" s="21">
        <v>1</v>
      </c>
      <c r="O83" s="23">
        <v>1</v>
      </c>
      <c r="P83" s="23">
        <v>1</v>
      </c>
      <c r="Q83" s="30"/>
      <c r="R83" s="23">
        <v>13</v>
      </c>
    </row>
    <row r="84" spans="1:18" s="50" customFormat="1" ht="13.5" customHeight="1" x14ac:dyDescent="0.3">
      <c r="A84" s="39" t="s">
        <v>96</v>
      </c>
      <c r="B84" s="21">
        <v>7</v>
      </c>
      <c r="C84" s="21"/>
      <c r="D84" s="21">
        <v>11</v>
      </c>
      <c r="E84" s="21">
        <v>4</v>
      </c>
      <c r="F84" s="21">
        <v>3</v>
      </c>
      <c r="G84" s="23">
        <v>18</v>
      </c>
      <c r="H84" s="23">
        <v>25</v>
      </c>
      <c r="I84" s="21"/>
      <c r="J84" s="21">
        <v>1</v>
      </c>
      <c r="K84" s="21"/>
      <c r="L84" s="21">
        <v>0</v>
      </c>
      <c r="M84" s="21">
        <v>0</v>
      </c>
      <c r="N84" s="21">
        <v>1</v>
      </c>
      <c r="O84" s="23">
        <v>1</v>
      </c>
      <c r="P84" s="23">
        <v>2</v>
      </c>
      <c r="Q84" s="30"/>
      <c r="R84" s="23">
        <v>27</v>
      </c>
    </row>
    <row r="85" spans="1:18" s="50" customFormat="1" ht="13.5" customHeight="1" x14ac:dyDescent="0.3">
      <c r="A85" s="39" t="s">
        <v>137</v>
      </c>
      <c r="B85" s="21">
        <v>0</v>
      </c>
      <c r="C85" s="21"/>
      <c r="D85" s="21">
        <v>8</v>
      </c>
      <c r="E85" s="21">
        <v>0</v>
      </c>
      <c r="F85" s="21">
        <v>4</v>
      </c>
      <c r="G85" s="23">
        <v>12</v>
      </c>
      <c r="H85" s="23">
        <v>12</v>
      </c>
      <c r="I85" s="21"/>
      <c r="J85" s="21">
        <v>0</v>
      </c>
      <c r="K85" s="21"/>
      <c r="L85" s="21">
        <v>0</v>
      </c>
      <c r="M85" s="21">
        <v>0</v>
      </c>
      <c r="N85" s="21">
        <v>1</v>
      </c>
      <c r="O85" s="23">
        <v>1</v>
      </c>
      <c r="P85" s="23">
        <v>1</v>
      </c>
      <c r="Q85" s="30"/>
      <c r="R85" s="23">
        <v>13</v>
      </c>
    </row>
    <row r="86" spans="1:18" s="50" customFormat="1" ht="13.5" customHeight="1" x14ac:dyDescent="0.3">
      <c r="A86" s="39" t="s">
        <v>93</v>
      </c>
      <c r="B86" s="21">
        <v>3</v>
      </c>
      <c r="C86" s="21"/>
      <c r="D86" s="21">
        <v>6</v>
      </c>
      <c r="E86" s="21">
        <v>3</v>
      </c>
      <c r="F86" s="21">
        <v>6</v>
      </c>
      <c r="G86" s="23">
        <v>15</v>
      </c>
      <c r="H86" s="23">
        <v>18</v>
      </c>
      <c r="I86" s="21"/>
      <c r="J86" s="21">
        <v>0</v>
      </c>
      <c r="K86" s="21"/>
      <c r="L86" s="21">
        <v>0</v>
      </c>
      <c r="M86" s="21">
        <v>0</v>
      </c>
      <c r="N86" s="21">
        <v>0</v>
      </c>
      <c r="O86" s="23">
        <v>0</v>
      </c>
      <c r="P86" s="23">
        <v>0</v>
      </c>
      <c r="Q86" s="30"/>
      <c r="R86" s="23">
        <v>18</v>
      </c>
    </row>
    <row r="87" spans="1:18" s="50" customFormat="1" ht="13.5" customHeight="1" x14ac:dyDescent="0.3">
      <c r="A87" s="39" t="s">
        <v>138</v>
      </c>
      <c r="B87" s="21">
        <v>1</v>
      </c>
      <c r="C87" s="21"/>
      <c r="D87" s="21">
        <v>9</v>
      </c>
      <c r="E87" s="21">
        <v>5</v>
      </c>
      <c r="F87" s="21">
        <v>8</v>
      </c>
      <c r="G87" s="23">
        <v>22</v>
      </c>
      <c r="H87" s="23">
        <v>23</v>
      </c>
      <c r="I87" s="21"/>
      <c r="J87" s="21">
        <v>0</v>
      </c>
      <c r="K87" s="21"/>
      <c r="L87" s="21">
        <v>1</v>
      </c>
      <c r="M87" s="21">
        <v>0</v>
      </c>
      <c r="N87" s="21">
        <v>1</v>
      </c>
      <c r="O87" s="23">
        <v>2</v>
      </c>
      <c r="P87" s="23">
        <v>2</v>
      </c>
      <c r="Q87" s="30"/>
      <c r="R87" s="23">
        <v>25</v>
      </c>
    </row>
    <row r="88" spans="1:18" s="50" customFormat="1" ht="13.5" customHeight="1" x14ac:dyDescent="0.3">
      <c r="A88" s="39" t="s">
        <v>139</v>
      </c>
      <c r="B88" s="21">
        <v>2</v>
      </c>
      <c r="C88" s="21"/>
      <c r="D88" s="21">
        <v>6</v>
      </c>
      <c r="E88" s="21">
        <v>1</v>
      </c>
      <c r="F88" s="21">
        <v>2</v>
      </c>
      <c r="G88" s="23">
        <v>9</v>
      </c>
      <c r="H88" s="23">
        <v>11</v>
      </c>
      <c r="I88" s="21"/>
      <c r="J88" s="21">
        <v>0</v>
      </c>
      <c r="K88" s="21"/>
      <c r="L88" s="21">
        <v>0</v>
      </c>
      <c r="M88" s="21">
        <v>0</v>
      </c>
      <c r="N88" s="21">
        <v>0</v>
      </c>
      <c r="O88" s="23">
        <v>0</v>
      </c>
      <c r="P88" s="23">
        <v>0</v>
      </c>
      <c r="Q88" s="30"/>
      <c r="R88" s="23">
        <v>11</v>
      </c>
    </row>
    <row r="89" spans="1:18" s="50" customFormat="1" ht="15" customHeight="1" x14ac:dyDescent="0.3">
      <c r="A89" s="46" t="s">
        <v>222</v>
      </c>
      <c r="B89" s="21">
        <v>5</v>
      </c>
      <c r="C89" s="21"/>
      <c r="D89" s="21">
        <v>18</v>
      </c>
      <c r="E89" s="21">
        <v>2</v>
      </c>
      <c r="F89" s="21">
        <v>8</v>
      </c>
      <c r="G89" s="23">
        <v>28</v>
      </c>
      <c r="H89" s="23">
        <v>33</v>
      </c>
      <c r="I89" s="21"/>
      <c r="J89" s="21">
        <v>0</v>
      </c>
      <c r="K89" s="21"/>
      <c r="L89" s="21">
        <v>0</v>
      </c>
      <c r="M89" s="21">
        <v>0</v>
      </c>
      <c r="N89" s="21">
        <v>0</v>
      </c>
      <c r="O89" s="23">
        <v>0</v>
      </c>
      <c r="P89" s="23">
        <v>0</v>
      </c>
      <c r="Q89" s="30"/>
      <c r="R89" s="23">
        <v>33</v>
      </c>
    </row>
    <row r="90" spans="1:18" s="50" customFormat="1" ht="13.5" customHeight="1" x14ac:dyDescent="0.3">
      <c r="A90" s="43" t="s">
        <v>17</v>
      </c>
      <c r="B90" s="23">
        <v>19</v>
      </c>
      <c r="C90" s="23"/>
      <c r="D90" s="23">
        <v>61</v>
      </c>
      <c r="E90" s="23">
        <v>17</v>
      </c>
      <c r="F90" s="23">
        <v>37</v>
      </c>
      <c r="G90" s="23">
        <v>115</v>
      </c>
      <c r="H90" s="23">
        <v>134</v>
      </c>
      <c r="I90" s="21"/>
      <c r="J90" s="23">
        <v>1</v>
      </c>
      <c r="K90" s="23"/>
      <c r="L90" s="23">
        <v>1</v>
      </c>
      <c r="M90" s="23">
        <v>0</v>
      </c>
      <c r="N90" s="23">
        <v>4</v>
      </c>
      <c r="O90" s="23">
        <v>5</v>
      </c>
      <c r="P90" s="23">
        <v>6</v>
      </c>
      <c r="Q90" s="30"/>
      <c r="R90" s="23">
        <v>140</v>
      </c>
    </row>
    <row r="91" spans="1:18" s="50" customFormat="1" ht="13.5" customHeight="1" x14ac:dyDescent="0.3">
      <c r="A91" s="44" t="s">
        <v>119</v>
      </c>
      <c r="B91" s="33">
        <v>0.1417910447761194</v>
      </c>
      <c r="C91" s="33"/>
      <c r="D91" s="33">
        <v>0.45522388059701491</v>
      </c>
      <c r="E91" s="33">
        <v>0.12686567164179105</v>
      </c>
      <c r="F91" s="33">
        <v>0.27611940298507465</v>
      </c>
      <c r="G91" s="33">
        <v>0.85820895522388063</v>
      </c>
      <c r="H91" s="33">
        <v>1</v>
      </c>
      <c r="I91" s="34"/>
      <c r="J91" s="33">
        <v>0.16666666666666666</v>
      </c>
      <c r="K91" s="33"/>
      <c r="L91" s="33">
        <v>0.16666666666666666</v>
      </c>
      <c r="M91" s="33">
        <v>0</v>
      </c>
      <c r="N91" s="33">
        <v>0.66666666666666663</v>
      </c>
      <c r="O91" s="33">
        <v>0.83333333333333326</v>
      </c>
      <c r="P91" s="33">
        <v>0.99999999999999989</v>
      </c>
      <c r="Q91" s="66"/>
      <c r="R91" s="47"/>
    </row>
    <row r="92" spans="1:18" s="23" customFormat="1" ht="7.5" customHeight="1" x14ac:dyDescent="0.3">
      <c r="A92" s="45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4"/>
    </row>
    <row r="93" spans="1:18" s="23" customFormat="1" ht="15" customHeight="1" x14ac:dyDescent="0.3">
      <c r="A93" s="42" t="s">
        <v>227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4"/>
    </row>
    <row r="94" spans="1:18" s="23" customFormat="1" ht="13.5" customHeight="1" x14ac:dyDescent="0.3">
      <c r="A94" s="39" t="s">
        <v>55</v>
      </c>
      <c r="B94" s="21">
        <v>2</v>
      </c>
      <c r="C94" s="62"/>
      <c r="D94" s="21">
        <v>5</v>
      </c>
      <c r="E94" s="21">
        <v>3</v>
      </c>
      <c r="F94" s="21">
        <v>2</v>
      </c>
      <c r="G94" s="23">
        <v>10</v>
      </c>
      <c r="H94" s="23">
        <v>12</v>
      </c>
      <c r="I94" s="21"/>
      <c r="J94" s="21">
        <v>2</v>
      </c>
      <c r="K94" s="21"/>
      <c r="L94" s="21">
        <v>1</v>
      </c>
      <c r="M94" s="21">
        <v>0</v>
      </c>
      <c r="N94" s="21">
        <v>0</v>
      </c>
      <c r="O94" s="23">
        <v>1</v>
      </c>
      <c r="P94" s="23">
        <v>3</v>
      </c>
      <c r="Q94" s="30"/>
      <c r="R94" s="23">
        <v>15</v>
      </c>
    </row>
    <row r="95" spans="1:18" s="23" customFormat="1" ht="13.5" customHeight="1" x14ac:dyDescent="0.3">
      <c r="A95" s="43" t="s">
        <v>17</v>
      </c>
      <c r="B95" s="23">
        <v>2</v>
      </c>
      <c r="D95" s="23">
        <v>5</v>
      </c>
      <c r="E95" s="23">
        <v>3</v>
      </c>
      <c r="F95" s="23">
        <v>2</v>
      </c>
      <c r="G95" s="23">
        <v>10</v>
      </c>
      <c r="H95" s="23">
        <v>12</v>
      </c>
      <c r="I95" s="21"/>
      <c r="J95" s="23">
        <v>2</v>
      </c>
      <c r="L95" s="23">
        <v>1</v>
      </c>
      <c r="M95" s="23">
        <v>0</v>
      </c>
      <c r="N95" s="23">
        <v>0</v>
      </c>
      <c r="O95" s="23">
        <v>1</v>
      </c>
      <c r="P95" s="23">
        <v>3</v>
      </c>
      <c r="Q95" s="30"/>
      <c r="R95" s="23">
        <v>15</v>
      </c>
    </row>
    <row r="96" spans="1:18" s="23" customFormat="1" ht="13.5" customHeight="1" x14ac:dyDescent="0.3">
      <c r="A96" s="44" t="s">
        <v>119</v>
      </c>
      <c r="B96" s="33">
        <v>0.16666666666666666</v>
      </c>
      <c r="C96" s="33"/>
      <c r="D96" s="33">
        <v>0.41666666666666669</v>
      </c>
      <c r="E96" s="33">
        <v>0.25</v>
      </c>
      <c r="F96" s="33">
        <v>0.16666666666666666</v>
      </c>
      <c r="G96" s="33">
        <v>0.83333333333333337</v>
      </c>
      <c r="H96" s="33">
        <v>1</v>
      </c>
      <c r="I96" s="34"/>
      <c r="J96" s="33">
        <v>0.66666666666666663</v>
      </c>
      <c r="K96" s="33"/>
      <c r="L96" s="33">
        <v>0.33333333333333331</v>
      </c>
      <c r="M96" s="33">
        <v>0</v>
      </c>
      <c r="N96" s="33">
        <v>0</v>
      </c>
      <c r="O96" s="33">
        <v>0.33333333333333331</v>
      </c>
      <c r="P96" s="33">
        <v>1</v>
      </c>
      <c r="Q96" s="64"/>
    </row>
    <row r="97" spans="1:49" s="23" customFormat="1" ht="7.5" customHeight="1" x14ac:dyDescent="0.3">
      <c r="A97" s="45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4"/>
    </row>
    <row r="98" spans="1:49" s="23" customFormat="1" ht="15" customHeight="1" x14ac:dyDescent="0.3">
      <c r="A98" s="42" t="s">
        <v>228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4"/>
    </row>
    <row r="99" spans="1:49" ht="12.75" customHeight="1" x14ac:dyDescent="0.3">
      <c r="A99" s="39" t="s">
        <v>56</v>
      </c>
      <c r="B99" s="21">
        <v>2</v>
      </c>
      <c r="D99" s="21">
        <v>4</v>
      </c>
      <c r="E99" s="21">
        <v>2</v>
      </c>
      <c r="F99" s="21">
        <v>1</v>
      </c>
      <c r="G99" s="23">
        <v>7</v>
      </c>
      <c r="H99" s="23">
        <v>9</v>
      </c>
      <c r="J99" s="21">
        <v>0</v>
      </c>
      <c r="L99" s="21">
        <v>1</v>
      </c>
      <c r="M99" s="21">
        <v>0</v>
      </c>
      <c r="N99" s="21">
        <v>0</v>
      </c>
      <c r="O99" s="23">
        <v>1</v>
      </c>
      <c r="P99" s="23">
        <v>1</v>
      </c>
      <c r="Q99" s="30"/>
      <c r="R99" s="23">
        <v>10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</row>
    <row r="100" spans="1:49" ht="12.75" customHeight="1" x14ac:dyDescent="0.3">
      <c r="A100" s="43" t="s">
        <v>17</v>
      </c>
      <c r="B100" s="23">
        <v>2</v>
      </c>
      <c r="C100" s="23"/>
      <c r="D100" s="23">
        <v>4</v>
      </c>
      <c r="E100" s="23">
        <v>2</v>
      </c>
      <c r="F100" s="23">
        <v>1</v>
      </c>
      <c r="G100" s="23">
        <v>7</v>
      </c>
      <c r="H100" s="23">
        <v>9</v>
      </c>
      <c r="J100" s="23">
        <v>0</v>
      </c>
      <c r="K100" s="23"/>
      <c r="L100" s="23">
        <v>1</v>
      </c>
      <c r="M100" s="23">
        <v>0</v>
      </c>
      <c r="N100" s="23">
        <v>0</v>
      </c>
      <c r="O100" s="23">
        <v>1</v>
      </c>
      <c r="P100" s="23">
        <v>1</v>
      </c>
      <c r="Q100" s="30"/>
      <c r="R100" s="23">
        <v>10</v>
      </c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</row>
    <row r="101" spans="1:49" s="67" customFormat="1" ht="13.5" customHeight="1" x14ac:dyDescent="0.3">
      <c r="A101" s="44" t="s">
        <v>119</v>
      </c>
      <c r="B101" s="33">
        <v>0.22222222222222221</v>
      </c>
      <c r="C101" s="33"/>
      <c r="D101" s="33">
        <v>0.44444444444444442</v>
      </c>
      <c r="E101" s="33">
        <v>0.22222222222222221</v>
      </c>
      <c r="F101" s="33">
        <v>0.1111111111111111</v>
      </c>
      <c r="G101" s="33">
        <v>0.77777777777777768</v>
      </c>
      <c r="H101" s="33">
        <v>0.99999999999999989</v>
      </c>
      <c r="I101" s="34"/>
      <c r="J101" s="33">
        <v>0</v>
      </c>
      <c r="K101" s="33"/>
      <c r="L101" s="33">
        <v>1</v>
      </c>
      <c r="M101" s="33">
        <v>0</v>
      </c>
      <c r="N101" s="33">
        <v>0</v>
      </c>
      <c r="O101" s="33">
        <v>1</v>
      </c>
      <c r="P101" s="33">
        <v>1</v>
      </c>
      <c r="Q101" s="66"/>
      <c r="R101" s="47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</row>
    <row r="102" spans="1:49" s="50" customFormat="1" ht="7.5" customHeight="1" x14ac:dyDescent="0.3">
      <c r="A102" s="23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4"/>
      <c r="R102" s="23"/>
    </row>
    <row r="103" spans="1:49" s="50" customFormat="1" ht="13.5" customHeight="1" x14ac:dyDescent="0.3">
      <c r="A103" s="23" t="s">
        <v>144</v>
      </c>
      <c r="B103" s="23">
        <v>24</v>
      </c>
      <c r="C103" s="21"/>
      <c r="D103" s="23">
        <v>76</v>
      </c>
      <c r="E103" s="23">
        <v>22</v>
      </c>
      <c r="F103" s="23">
        <v>40</v>
      </c>
      <c r="G103" s="23">
        <v>138</v>
      </c>
      <c r="H103" s="23">
        <v>162</v>
      </c>
      <c r="I103" s="21"/>
      <c r="J103" s="23">
        <v>3</v>
      </c>
      <c r="K103" s="21"/>
      <c r="L103" s="23">
        <v>3</v>
      </c>
      <c r="M103" s="23">
        <v>0</v>
      </c>
      <c r="N103" s="23">
        <v>4</v>
      </c>
      <c r="O103" s="23">
        <v>7</v>
      </c>
      <c r="P103" s="23">
        <v>10</v>
      </c>
      <c r="Q103" s="64"/>
      <c r="R103" s="23">
        <v>172</v>
      </c>
    </row>
    <row r="104" spans="1:49" s="50" customFormat="1" ht="13.5" customHeight="1" x14ac:dyDescent="0.3">
      <c r="A104" s="44" t="s">
        <v>119</v>
      </c>
      <c r="B104" s="33">
        <v>0.14814814814814814</v>
      </c>
      <c r="C104" s="33"/>
      <c r="D104" s="33">
        <v>0.46913580246913578</v>
      </c>
      <c r="E104" s="33">
        <v>0.13580246913580246</v>
      </c>
      <c r="F104" s="33">
        <v>0.24691358024691357</v>
      </c>
      <c r="G104" s="33">
        <v>0.85185185185185186</v>
      </c>
      <c r="H104" s="33">
        <v>1</v>
      </c>
      <c r="I104" s="34"/>
      <c r="J104" s="33">
        <v>0.3</v>
      </c>
      <c r="K104" s="33"/>
      <c r="L104" s="33">
        <v>0.3</v>
      </c>
      <c r="M104" s="33">
        <v>0</v>
      </c>
      <c r="N104" s="33">
        <v>0.4</v>
      </c>
      <c r="O104" s="33">
        <v>0.7</v>
      </c>
      <c r="P104" s="33">
        <v>1</v>
      </c>
      <c r="Q104" s="64"/>
      <c r="R104" s="23"/>
    </row>
    <row r="105" spans="1:49" s="23" customFormat="1" ht="7.5" customHeight="1" x14ac:dyDescent="0.3">
      <c r="A105" s="2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4"/>
    </row>
    <row r="106" spans="1:49" s="23" customFormat="1" ht="12.75" customHeight="1" x14ac:dyDescent="0.3">
      <c r="A106" s="23" t="s">
        <v>70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4"/>
    </row>
    <row r="107" spans="1:49" ht="12.75" customHeight="1" x14ac:dyDescent="0.3">
      <c r="A107" s="21" t="s">
        <v>71</v>
      </c>
      <c r="B107" s="21">
        <v>5</v>
      </c>
      <c r="D107" s="21">
        <v>11</v>
      </c>
      <c r="E107" s="21">
        <v>7</v>
      </c>
      <c r="F107" s="21">
        <v>3</v>
      </c>
      <c r="G107" s="23">
        <v>21</v>
      </c>
      <c r="H107" s="23">
        <v>26</v>
      </c>
      <c r="J107" s="21">
        <v>0</v>
      </c>
      <c r="L107" s="21">
        <v>1</v>
      </c>
      <c r="M107" s="21">
        <v>0</v>
      </c>
      <c r="N107" s="21">
        <v>1</v>
      </c>
      <c r="O107" s="23">
        <v>2</v>
      </c>
      <c r="P107" s="23">
        <v>2</v>
      </c>
      <c r="Q107" s="30"/>
      <c r="R107" s="23">
        <v>28</v>
      </c>
    </row>
    <row r="108" spans="1:49" ht="12.75" customHeight="1" x14ac:dyDescent="0.3">
      <c r="A108" s="21" t="s">
        <v>72</v>
      </c>
      <c r="B108" s="21">
        <v>0</v>
      </c>
      <c r="D108" s="21">
        <v>0</v>
      </c>
      <c r="E108" s="21">
        <v>0</v>
      </c>
      <c r="F108" s="21">
        <v>1</v>
      </c>
      <c r="G108" s="23">
        <v>1</v>
      </c>
      <c r="H108" s="23">
        <v>1</v>
      </c>
      <c r="J108" s="21">
        <v>0</v>
      </c>
      <c r="L108" s="21">
        <v>0</v>
      </c>
      <c r="M108" s="21">
        <v>0</v>
      </c>
      <c r="N108" s="21">
        <v>0</v>
      </c>
      <c r="O108" s="23">
        <v>0</v>
      </c>
      <c r="P108" s="23">
        <v>0</v>
      </c>
      <c r="Q108" s="30"/>
      <c r="R108" s="23">
        <v>1</v>
      </c>
    </row>
    <row r="109" spans="1:49" ht="12.75" customHeight="1" x14ac:dyDescent="0.3">
      <c r="A109" s="21" t="s">
        <v>73</v>
      </c>
      <c r="B109" s="21">
        <v>3</v>
      </c>
      <c r="D109" s="21">
        <v>21</v>
      </c>
      <c r="E109" s="21">
        <v>1</v>
      </c>
      <c r="F109" s="21">
        <v>3</v>
      </c>
      <c r="G109" s="23">
        <v>25</v>
      </c>
      <c r="H109" s="23">
        <v>28</v>
      </c>
      <c r="J109" s="21">
        <v>0</v>
      </c>
      <c r="L109" s="21">
        <v>0</v>
      </c>
      <c r="M109" s="21">
        <v>0</v>
      </c>
      <c r="N109" s="21">
        <v>0</v>
      </c>
      <c r="O109" s="23">
        <v>0</v>
      </c>
      <c r="P109" s="23">
        <v>0</v>
      </c>
      <c r="Q109" s="30"/>
      <c r="R109" s="23">
        <v>28</v>
      </c>
    </row>
    <row r="110" spans="1:49" ht="12.75" customHeight="1" x14ac:dyDescent="0.3">
      <c r="A110" s="21" t="s">
        <v>74</v>
      </c>
      <c r="B110" s="21">
        <v>4</v>
      </c>
      <c r="D110" s="21">
        <v>14</v>
      </c>
      <c r="E110" s="21">
        <v>1</v>
      </c>
      <c r="F110" s="21">
        <v>3</v>
      </c>
      <c r="G110" s="23">
        <v>18</v>
      </c>
      <c r="H110" s="23">
        <v>22</v>
      </c>
      <c r="J110" s="21">
        <v>0</v>
      </c>
      <c r="L110" s="21">
        <v>1</v>
      </c>
      <c r="M110" s="21">
        <v>0</v>
      </c>
      <c r="N110" s="21">
        <v>0</v>
      </c>
      <c r="O110" s="23">
        <v>1</v>
      </c>
      <c r="P110" s="23">
        <v>1</v>
      </c>
      <c r="Q110" s="30"/>
      <c r="R110" s="23">
        <v>23</v>
      </c>
    </row>
    <row r="111" spans="1:49" ht="12.75" customHeight="1" x14ac:dyDescent="0.3">
      <c r="A111" s="21" t="s">
        <v>75</v>
      </c>
      <c r="B111" s="21">
        <v>3</v>
      </c>
      <c r="D111" s="21">
        <v>9</v>
      </c>
      <c r="E111" s="21">
        <v>0</v>
      </c>
      <c r="F111" s="21">
        <v>5</v>
      </c>
      <c r="G111" s="23">
        <v>14</v>
      </c>
      <c r="H111" s="23">
        <v>17</v>
      </c>
      <c r="J111" s="21">
        <v>0</v>
      </c>
      <c r="L111" s="21">
        <v>0</v>
      </c>
      <c r="M111" s="21">
        <v>0</v>
      </c>
      <c r="N111" s="21">
        <v>0</v>
      </c>
      <c r="O111" s="23">
        <v>0</v>
      </c>
      <c r="P111" s="23">
        <v>0</v>
      </c>
      <c r="Q111" s="30"/>
      <c r="R111" s="23">
        <v>17</v>
      </c>
    </row>
    <row r="112" spans="1:49" ht="12.75" customHeight="1" x14ac:dyDescent="0.3">
      <c r="A112" s="21" t="s">
        <v>76</v>
      </c>
      <c r="B112" s="21">
        <v>2</v>
      </c>
      <c r="D112" s="21">
        <v>10</v>
      </c>
      <c r="E112" s="21">
        <v>8</v>
      </c>
      <c r="F112" s="21">
        <v>9</v>
      </c>
      <c r="G112" s="23">
        <v>27</v>
      </c>
      <c r="H112" s="23">
        <v>29</v>
      </c>
      <c r="J112" s="21">
        <v>0</v>
      </c>
      <c r="L112" s="21">
        <v>0</v>
      </c>
      <c r="M112" s="21">
        <v>0</v>
      </c>
      <c r="N112" s="21">
        <v>0</v>
      </c>
      <c r="O112" s="23">
        <v>0</v>
      </c>
      <c r="P112" s="23">
        <v>0</v>
      </c>
      <c r="Q112" s="30"/>
      <c r="R112" s="23">
        <v>29</v>
      </c>
    </row>
    <row r="113" spans="1:18" ht="12.75" customHeight="1" x14ac:dyDescent="0.3">
      <c r="A113" s="21" t="s">
        <v>77</v>
      </c>
      <c r="B113" s="21">
        <v>6</v>
      </c>
      <c r="D113" s="21">
        <v>22</v>
      </c>
      <c r="E113" s="21">
        <v>3</v>
      </c>
      <c r="F113" s="21">
        <v>11</v>
      </c>
      <c r="G113" s="23">
        <v>36</v>
      </c>
      <c r="H113" s="23">
        <v>42</v>
      </c>
      <c r="J113" s="21">
        <v>0</v>
      </c>
      <c r="L113" s="21">
        <v>0</v>
      </c>
      <c r="M113" s="21">
        <v>0</v>
      </c>
      <c r="N113" s="21">
        <v>0</v>
      </c>
      <c r="O113" s="23">
        <v>0</v>
      </c>
      <c r="P113" s="23">
        <v>0</v>
      </c>
      <c r="Q113" s="30"/>
      <c r="R113" s="23">
        <v>42</v>
      </c>
    </row>
    <row r="114" spans="1:18" ht="12.75" customHeight="1" x14ac:dyDescent="0.3">
      <c r="A114" s="21" t="s">
        <v>78</v>
      </c>
      <c r="B114" s="21">
        <v>4</v>
      </c>
      <c r="D114" s="21">
        <v>4</v>
      </c>
      <c r="E114" s="21">
        <v>2</v>
      </c>
      <c r="F114" s="21">
        <v>3</v>
      </c>
      <c r="G114" s="23">
        <v>9</v>
      </c>
      <c r="H114" s="23">
        <v>13</v>
      </c>
      <c r="J114" s="21">
        <v>0</v>
      </c>
      <c r="L114" s="21">
        <v>0</v>
      </c>
      <c r="M114" s="21">
        <v>0</v>
      </c>
      <c r="N114" s="21">
        <v>0</v>
      </c>
      <c r="O114" s="23">
        <v>0</v>
      </c>
      <c r="P114" s="23">
        <v>0</v>
      </c>
      <c r="Q114" s="30"/>
      <c r="R114" s="23">
        <v>13</v>
      </c>
    </row>
    <row r="115" spans="1:18" ht="12.75" customHeight="1" x14ac:dyDescent="0.3">
      <c r="A115" s="21" t="s">
        <v>79</v>
      </c>
      <c r="B115" s="21">
        <v>0</v>
      </c>
      <c r="D115" s="21">
        <v>0</v>
      </c>
      <c r="E115" s="21">
        <v>0</v>
      </c>
      <c r="F115" s="21">
        <v>1</v>
      </c>
      <c r="G115" s="23">
        <v>1</v>
      </c>
      <c r="H115" s="23">
        <v>1</v>
      </c>
      <c r="J115" s="21">
        <v>0</v>
      </c>
      <c r="L115" s="21">
        <v>0</v>
      </c>
      <c r="M115" s="21">
        <v>0</v>
      </c>
      <c r="N115" s="21">
        <v>0</v>
      </c>
      <c r="O115" s="23">
        <v>0</v>
      </c>
      <c r="P115" s="23">
        <v>0</v>
      </c>
      <c r="Q115" s="30"/>
      <c r="R115" s="23">
        <v>1</v>
      </c>
    </row>
    <row r="116" spans="1:18" ht="12.75" customHeight="1" x14ac:dyDescent="0.3">
      <c r="A116" s="31" t="s">
        <v>17</v>
      </c>
      <c r="B116" s="23">
        <v>27</v>
      </c>
      <c r="C116" s="23"/>
      <c r="D116" s="23">
        <v>91</v>
      </c>
      <c r="E116" s="23">
        <v>22</v>
      </c>
      <c r="F116" s="23">
        <v>39</v>
      </c>
      <c r="G116" s="23">
        <v>152</v>
      </c>
      <c r="H116" s="23">
        <v>179</v>
      </c>
      <c r="J116" s="23">
        <v>0</v>
      </c>
      <c r="K116" s="23"/>
      <c r="L116" s="23">
        <v>2</v>
      </c>
      <c r="M116" s="23">
        <v>0</v>
      </c>
      <c r="N116" s="23">
        <v>1</v>
      </c>
      <c r="O116" s="23">
        <v>3</v>
      </c>
      <c r="P116" s="23">
        <v>3</v>
      </c>
      <c r="Q116" s="30"/>
      <c r="R116" s="23">
        <v>182</v>
      </c>
    </row>
    <row r="117" spans="1:18" s="50" customFormat="1" ht="13.5" customHeight="1" x14ac:dyDescent="0.3">
      <c r="A117" s="32" t="s">
        <v>119</v>
      </c>
      <c r="B117" s="33">
        <v>0.15083798882681565</v>
      </c>
      <c r="C117" s="33"/>
      <c r="D117" s="33">
        <v>0.50837988826815639</v>
      </c>
      <c r="E117" s="33">
        <v>0.12290502793296089</v>
      </c>
      <c r="F117" s="33">
        <v>0.21787709497206703</v>
      </c>
      <c r="G117" s="33">
        <v>0.84916201117318435</v>
      </c>
      <c r="H117" s="33">
        <v>1</v>
      </c>
      <c r="I117" s="34"/>
      <c r="J117" s="33">
        <v>0</v>
      </c>
      <c r="K117" s="33"/>
      <c r="L117" s="33">
        <v>0.66666666666666663</v>
      </c>
      <c r="M117" s="33">
        <v>0</v>
      </c>
      <c r="N117" s="33">
        <v>0.33333333333333331</v>
      </c>
      <c r="O117" s="33">
        <v>1</v>
      </c>
      <c r="P117" s="33">
        <v>1</v>
      </c>
      <c r="Q117" s="66"/>
      <c r="R117" s="35"/>
    </row>
    <row r="118" spans="1:18" s="23" customFormat="1" ht="7.5" customHeight="1" x14ac:dyDescent="0.3">
      <c r="A118" s="2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4"/>
    </row>
    <row r="119" spans="1:18" s="23" customFormat="1" ht="12.75" customHeight="1" x14ac:dyDescent="0.3">
      <c r="A119" s="23" t="s">
        <v>223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4"/>
    </row>
    <row r="120" spans="1:18" ht="12.75" customHeight="1" x14ac:dyDescent="0.3">
      <c r="A120" s="21" t="s">
        <v>80</v>
      </c>
      <c r="B120" s="21">
        <v>1</v>
      </c>
      <c r="D120" s="21">
        <v>2</v>
      </c>
      <c r="E120" s="21">
        <v>3</v>
      </c>
      <c r="F120" s="21">
        <v>7</v>
      </c>
      <c r="G120" s="23">
        <v>12</v>
      </c>
      <c r="H120" s="23">
        <v>13</v>
      </c>
      <c r="J120" s="21">
        <v>0</v>
      </c>
      <c r="L120" s="21">
        <v>2</v>
      </c>
      <c r="M120" s="21">
        <v>0</v>
      </c>
      <c r="N120" s="21">
        <v>1</v>
      </c>
      <c r="O120" s="23">
        <v>3</v>
      </c>
      <c r="P120" s="23">
        <v>3</v>
      </c>
      <c r="Q120" s="30"/>
      <c r="R120" s="23">
        <v>16</v>
      </c>
    </row>
    <row r="121" spans="1:18" ht="12.75" customHeight="1" x14ac:dyDescent="0.3">
      <c r="A121" s="31" t="s">
        <v>17</v>
      </c>
      <c r="B121" s="23">
        <v>1</v>
      </c>
      <c r="C121" s="23"/>
      <c r="D121" s="23">
        <v>2</v>
      </c>
      <c r="E121" s="23">
        <v>3</v>
      </c>
      <c r="F121" s="23">
        <v>7</v>
      </c>
      <c r="G121" s="23">
        <v>12</v>
      </c>
      <c r="H121" s="23">
        <v>13</v>
      </c>
      <c r="J121" s="23">
        <v>0</v>
      </c>
      <c r="K121" s="23"/>
      <c r="L121" s="23">
        <v>2</v>
      </c>
      <c r="M121" s="23">
        <v>0</v>
      </c>
      <c r="N121" s="23">
        <v>1</v>
      </c>
      <c r="O121" s="23">
        <v>3</v>
      </c>
      <c r="P121" s="23">
        <v>3</v>
      </c>
      <c r="Q121" s="30"/>
      <c r="R121" s="23">
        <v>16</v>
      </c>
    </row>
    <row r="122" spans="1:18" s="50" customFormat="1" ht="13.5" customHeight="1" x14ac:dyDescent="0.3">
      <c r="A122" s="32" t="s">
        <v>119</v>
      </c>
      <c r="B122" s="33">
        <v>7.6923076923076927E-2</v>
      </c>
      <c r="C122" s="33"/>
      <c r="D122" s="33">
        <v>0.15384615384615385</v>
      </c>
      <c r="E122" s="33">
        <v>0.23076923076923078</v>
      </c>
      <c r="F122" s="33">
        <v>0.53846153846153844</v>
      </c>
      <c r="G122" s="33">
        <v>0.92307692307692313</v>
      </c>
      <c r="H122" s="33">
        <v>1</v>
      </c>
      <c r="I122" s="34"/>
      <c r="J122" s="33">
        <v>0</v>
      </c>
      <c r="K122" s="33"/>
      <c r="L122" s="33">
        <v>0.66666666666666663</v>
      </c>
      <c r="M122" s="33">
        <v>0</v>
      </c>
      <c r="N122" s="33">
        <v>0.33333333333333331</v>
      </c>
      <c r="O122" s="33">
        <v>1</v>
      </c>
      <c r="P122" s="33">
        <v>1</v>
      </c>
      <c r="Q122" s="66"/>
      <c r="R122" s="35"/>
    </row>
    <row r="123" spans="1:18" s="23" customFormat="1" ht="7.5" customHeight="1" x14ac:dyDescent="0.3">
      <c r="A123" s="2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4"/>
    </row>
    <row r="124" spans="1:18" ht="12.75" customHeight="1" x14ac:dyDescent="0.3">
      <c r="A124" s="23" t="s">
        <v>4</v>
      </c>
      <c r="B124" s="23">
        <v>164</v>
      </c>
      <c r="C124" s="23"/>
      <c r="D124" s="23">
        <v>503</v>
      </c>
      <c r="E124" s="23">
        <v>139</v>
      </c>
      <c r="F124" s="23">
        <v>226</v>
      </c>
      <c r="G124" s="23">
        <v>868</v>
      </c>
      <c r="H124" s="23">
        <v>1032</v>
      </c>
      <c r="J124" s="23">
        <v>5</v>
      </c>
      <c r="K124" s="23"/>
      <c r="L124" s="23">
        <v>24</v>
      </c>
      <c r="M124" s="23">
        <v>7</v>
      </c>
      <c r="N124" s="23">
        <v>17</v>
      </c>
      <c r="O124" s="23">
        <v>48</v>
      </c>
      <c r="P124" s="23">
        <v>53</v>
      </c>
      <c r="Q124" s="30"/>
      <c r="R124" s="23">
        <v>1085</v>
      </c>
    </row>
    <row r="125" spans="1:18" s="50" customFormat="1" ht="13.5" customHeight="1" x14ac:dyDescent="0.3">
      <c r="A125" s="32" t="s">
        <v>119</v>
      </c>
      <c r="B125" s="33">
        <v>0.15891472868217055</v>
      </c>
      <c r="C125" s="33"/>
      <c r="D125" s="33">
        <v>0.48740310077519378</v>
      </c>
      <c r="E125" s="33">
        <v>0.13468992248062014</v>
      </c>
      <c r="F125" s="33">
        <v>0.2189922480620155</v>
      </c>
      <c r="G125" s="33">
        <v>0.8410852713178294</v>
      </c>
      <c r="H125" s="33">
        <v>1</v>
      </c>
      <c r="I125" s="34"/>
      <c r="J125" s="33">
        <v>9.4339622641509441E-2</v>
      </c>
      <c r="K125" s="33"/>
      <c r="L125" s="33">
        <v>0.45283018867924529</v>
      </c>
      <c r="M125" s="33">
        <v>0.13207547169811321</v>
      </c>
      <c r="N125" s="33">
        <v>0.32075471698113206</v>
      </c>
      <c r="O125" s="33">
        <v>0.90566037735849059</v>
      </c>
      <c r="P125" s="33">
        <v>1</v>
      </c>
      <c r="Q125" s="66"/>
      <c r="R125" s="35"/>
    </row>
    <row r="126" spans="1:18" ht="12.75" customHeight="1" x14ac:dyDescent="0.3">
      <c r="B126" s="23"/>
      <c r="C126" s="23"/>
      <c r="D126" s="23"/>
      <c r="E126" s="23"/>
      <c r="F126" s="23"/>
      <c r="G126" s="23"/>
      <c r="H126" s="23"/>
      <c r="J126" s="23"/>
      <c r="K126" s="23"/>
      <c r="L126" s="23"/>
      <c r="M126" s="23"/>
      <c r="N126" s="23"/>
      <c r="O126" s="23"/>
      <c r="P126" s="23"/>
      <c r="Q126" s="30"/>
      <c r="R126" s="23"/>
    </row>
    <row r="127" spans="1:18" ht="16.5" customHeight="1" x14ac:dyDescent="0.3">
      <c r="A127" s="21" t="s">
        <v>229</v>
      </c>
      <c r="B127" s="23">
        <v>0</v>
      </c>
      <c r="C127" s="23"/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J127" s="23">
        <v>2</v>
      </c>
      <c r="K127" s="23"/>
      <c r="L127" s="23">
        <v>5</v>
      </c>
      <c r="M127" s="23">
        <v>3</v>
      </c>
      <c r="N127" s="23">
        <v>5</v>
      </c>
      <c r="O127" s="23">
        <v>13</v>
      </c>
      <c r="P127" s="23">
        <v>15</v>
      </c>
      <c r="Q127" s="30"/>
      <c r="R127" s="23">
        <v>15</v>
      </c>
    </row>
    <row r="129" spans="1:18" ht="12.75" customHeight="1" x14ac:dyDescent="0.3">
      <c r="A129" s="23" t="s">
        <v>85</v>
      </c>
    </row>
    <row r="130" spans="1:18" s="68" customFormat="1" ht="12" customHeight="1" x14ac:dyDescent="0.3">
      <c r="A130" s="68" t="s">
        <v>210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1:18" s="70" customFormat="1" ht="12" customHeight="1" x14ac:dyDescent="0.3">
      <c r="A131" s="70" t="s">
        <v>230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8" ht="12.75" customHeight="1" x14ac:dyDescent="0.3">
      <c r="A132" s="51" t="s">
        <v>209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1"/>
    </row>
    <row r="133" spans="1:18" ht="12.75" customHeight="1" x14ac:dyDescent="0.3">
      <c r="A133" s="51" t="s">
        <v>208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spans="1:18" ht="12.75" customHeight="1" x14ac:dyDescent="0.3">
      <c r="A134" s="51" t="s">
        <v>150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1"/>
    </row>
    <row r="135" spans="1:18" ht="12.75" customHeight="1" x14ac:dyDescent="0.3">
      <c r="A135" s="51" t="s">
        <v>151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1"/>
    </row>
    <row r="136" spans="1:18" ht="12.75" customHeight="1" x14ac:dyDescent="0.3">
      <c r="A136" s="175" t="s">
        <v>207</v>
      </c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1:18" ht="12.75" customHeight="1" x14ac:dyDescent="0.3">
      <c r="A137" s="175" t="s">
        <v>206</v>
      </c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1:18" ht="12.75" customHeight="1" x14ac:dyDescent="0.3">
      <c r="A138" s="51" t="s">
        <v>205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1:18" ht="12.75" customHeight="1" x14ac:dyDescent="0.3">
      <c r="A139" s="51" t="s">
        <v>204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8" ht="12.75" customHeight="1" x14ac:dyDescent="0.3">
      <c r="A140" s="51" t="s">
        <v>203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1:18" ht="12.75" customHeight="1" x14ac:dyDescent="0.3">
      <c r="A141" s="175" t="s">
        <v>202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1:18" ht="12.75" customHeight="1" x14ac:dyDescent="0.3">
      <c r="A142" s="176" t="s">
        <v>201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</sheetData>
  <mergeCells count="12">
    <mergeCell ref="A141:Q141"/>
    <mergeCell ref="A142:Q142"/>
    <mergeCell ref="L8:O8"/>
    <mergeCell ref="D8:G8"/>
    <mergeCell ref="A136:Q136"/>
    <mergeCell ref="A137:Q137"/>
    <mergeCell ref="B6:H6"/>
    <mergeCell ref="J6:P6"/>
    <mergeCell ref="A1:R1"/>
    <mergeCell ref="A2:R2"/>
    <mergeCell ref="A3:R3"/>
    <mergeCell ref="A4:R4"/>
  </mergeCells>
  <printOptions horizontalCentered="1"/>
  <pageMargins left="0.98425196850393704" right="0.98425196850393704" top="0.9055118110236221" bottom="0.86614173228346458" header="0" footer="0.31496062992125984"/>
  <pageSetup scale="69" fitToHeight="4" orientation="landscape" r:id="rId1"/>
  <headerFooter>
    <oddFooter>&amp;LOIA/ZK 2016/01/05
&amp;RPage &amp;P of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7"/>
  <sheetViews>
    <sheetView topLeftCell="A19" workbookViewId="0">
      <selection activeCell="F37" sqref="F37"/>
    </sheetView>
  </sheetViews>
  <sheetFormatPr defaultRowHeight="14.4" x14ac:dyDescent="0.3"/>
  <cols>
    <col min="1" max="1" width="35.33203125" style="118" bestFit="1" customWidth="1"/>
    <col min="2" max="2" width="15.5546875" style="17" bestFit="1" customWidth="1"/>
    <col min="3" max="3" width="11.109375" style="17" bestFit="1" customWidth="1"/>
    <col min="4" max="5" width="12.6640625" style="17" bestFit="1" customWidth="1"/>
    <col min="6" max="16384" width="8.88671875" style="118"/>
  </cols>
  <sheetData>
    <row r="3" spans="1:5" x14ac:dyDescent="0.3">
      <c r="A3" s="63" t="s">
        <v>243</v>
      </c>
      <c r="B3" s="84" t="s">
        <v>239</v>
      </c>
      <c r="E3" s="118"/>
    </row>
    <row r="4" spans="1:5" x14ac:dyDescent="0.3">
      <c r="A4" s="63" t="s">
        <v>200</v>
      </c>
      <c r="B4" s="17" t="s">
        <v>238</v>
      </c>
      <c r="C4" s="17" t="s">
        <v>237</v>
      </c>
      <c r="D4" s="17" t="s">
        <v>198</v>
      </c>
      <c r="E4" s="118"/>
    </row>
    <row r="5" spans="1:5" x14ac:dyDescent="0.3">
      <c r="A5" s="18" t="s">
        <v>10</v>
      </c>
      <c r="B5" s="17">
        <v>20000</v>
      </c>
      <c r="D5" s="17">
        <v>20000</v>
      </c>
      <c r="E5" s="118"/>
    </row>
    <row r="6" spans="1:5" x14ac:dyDescent="0.3">
      <c r="A6" s="18" t="s">
        <v>11</v>
      </c>
      <c r="B6" s="17">
        <v>15000</v>
      </c>
      <c r="D6" s="17">
        <v>15000</v>
      </c>
      <c r="E6" s="118"/>
    </row>
    <row r="7" spans="1:5" x14ac:dyDescent="0.3">
      <c r="A7" s="18" t="s">
        <v>51</v>
      </c>
      <c r="C7" s="17">
        <v>7500</v>
      </c>
      <c r="D7" s="17">
        <v>7500</v>
      </c>
      <c r="E7" s="118"/>
    </row>
    <row r="8" spans="1:5" x14ac:dyDescent="0.3">
      <c r="A8" s="18" t="s">
        <v>18</v>
      </c>
      <c r="B8" s="17">
        <v>30000</v>
      </c>
      <c r="D8" s="17">
        <v>30000</v>
      </c>
      <c r="E8" s="118"/>
    </row>
    <row r="9" spans="1:5" x14ac:dyDescent="0.3">
      <c r="A9" s="18" t="s">
        <v>71</v>
      </c>
      <c r="B9" s="17">
        <v>20000</v>
      </c>
      <c r="D9" s="17">
        <v>20000</v>
      </c>
      <c r="E9" s="118"/>
    </row>
    <row r="10" spans="1:5" x14ac:dyDescent="0.3">
      <c r="A10" s="18" t="s">
        <v>52</v>
      </c>
      <c r="B10" s="17">
        <v>10000</v>
      </c>
      <c r="C10" s="17">
        <v>18000</v>
      </c>
      <c r="D10" s="17">
        <v>28000</v>
      </c>
      <c r="E10" s="118"/>
    </row>
    <row r="11" spans="1:5" x14ac:dyDescent="0.3">
      <c r="A11" s="18" t="s">
        <v>12</v>
      </c>
      <c r="B11" s="17">
        <v>35000</v>
      </c>
      <c r="C11" s="17">
        <v>20500</v>
      </c>
      <c r="D11" s="17">
        <v>55500</v>
      </c>
      <c r="E11" s="118"/>
    </row>
    <row r="12" spans="1:5" x14ac:dyDescent="0.3">
      <c r="A12" s="18" t="s">
        <v>73</v>
      </c>
      <c r="B12" s="17">
        <v>15000</v>
      </c>
      <c r="D12" s="17">
        <v>15000</v>
      </c>
      <c r="E12" s="118"/>
    </row>
    <row r="13" spans="1:5" x14ac:dyDescent="0.3">
      <c r="A13" s="18" t="s">
        <v>19</v>
      </c>
      <c r="B13" s="17">
        <v>35000</v>
      </c>
      <c r="D13" s="17">
        <v>35000</v>
      </c>
      <c r="E13" s="118"/>
    </row>
    <row r="14" spans="1:5" x14ac:dyDescent="0.3">
      <c r="A14" s="18" t="s">
        <v>43</v>
      </c>
      <c r="B14" s="17">
        <v>35000</v>
      </c>
      <c r="C14" s="17">
        <v>18000</v>
      </c>
      <c r="D14" s="17">
        <v>53000</v>
      </c>
      <c r="E14" s="118"/>
    </row>
    <row r="15" spans="1:5" x14ac:dyDescent="0.3">
      <c r="A15" s="18" t="s">
        <v>27</v>
      </c>
      <c r="B15" s="17">
        <v>30000</v>
      </c>
      <c r="D15" s="17">
        <v>30000</v>
      </c>
      <c r="E15" s="118"/>
    </row>
    <row r="16" spans="1:5" x14ac:dyDescent="0.3">
      <c r="A16" s="18" t="s">
        <v>41</v>
      </c>
      <c r="B16" s="17">
        <v>10000</v>
      </c>
      <c r="D16" s="17">
        <v>10000</v>
      </c>
      <c r="E16" s="118"/>
    </row>
    <row r="17" spans="1:5" x14ac:dyDescent="0.3">
      <c r="A17" s="18" t="s">
        <v>44</v>
      </c>
      <c r="B17" s="17">
        <v>50000</v>
      </c>
      <c r="C17" s="17">
        <v>50500</v>
      </c>
      <c r="D17" s="17">
        <v>100500</v>
      </c>
      <c r="E17" s="118"/>
    </row>
    <row r="18" spans="1:5" x14ac:dyDescent="0.3">
      <c r="A18" s="18" t="s">
        <v>28</v>
      </c>
      <c r="B18" s="17">
        <v>15000</v>
      </c>
      <c r="C18" s="17">
        <v>20500</v>
      </c>
      <c r="D18" s="17">
        <v>35500</v>
      </c>
      <c r="E18" s="118"/>
    </row>
    <row r="19" spans="1:5" x14ac:dyDescent="0.3">
      <c r="A19" s="18" t="s">
        <v>46</v>
      </c>
      <c r="B19" s="17">
        <v>20000</v>
      </c>
      <c r="C19" s="17">
        <v>2500</v>
      </c>
      <c r="D19" s="17">
        <v>22500</v>
      </c>
      <c r="E19" s="118"/>
    </row>
    <row r="20" spans="1:5" x14ac:dyDescent="0.3">
      <c r="A20" s="18" t="s">
        <v>63</v>
      </c>
      <c r="B20" s="17">
        <v>5000</v>
      </c>
      <c r="D20" s="17">
        <v>5000</v>
      </c>
      <c r="E20" s="118"/>
    </row>
    <row r="21" spans="1:5" x14ac:dyDescent="0.3">
      <c r="A21" s="18" t="s">
        <v>14</v>
      </c>
      <c r="B21" s="17">
        <v>15000</v>
      </c>
      <c r="D21" s="17">
        <v>15000</v>
      </c>
      <c r="E21" s="118"/>
    </row>
    <row r="22" spans="1:5" x14ac:dyDescent="0.3">
      <c r="A22" s="18" t="s">
        <v>48</v>
      </c>
      <c r="B22" s="17">
        <v>15000</v>
      </c>
      <c r="D22" s="17">
        <v>15000</v>
      </c>
      <c r="E22" s="118"/>
    </row>
    <row r="23" spans="1:5" x14ac:dyDescent="0.3">
      <c r="A23" s="18" t="s">
        <v>183</v>
      </c>
      <c r="B23" s="17">
        <v>5000</v>
      </c>
      <c r="C23" s="17">
        <v>2500</v>
      </c>
      <c r="D23" s="17">
        <v>7500</v>
      </c>
      <c r="E23" s="118"/>
    </row>
    <row r="24" spans="1:5" x14ac:dyDescent="0.3">
      <c r="A24" s="18" t="s">
        <v>89</v>
      </c>
      <c r="B24" s="17">
        <v>30000</v>
      </c>
      <c r="C24" s="17">
        <v>5000</v>
      </c>
      <c r="D24" s="17">
        <v>35000</v>
      </c>
      <c r="E24" s="118"/>
    </row>
    <row r="25" spans="1:5" x14ac:dyDescent="0.3">
      <c r="A25" s="18" t="s">
        <v>20</v>
      </c>
      <c r="B25" s="17">
        <v>15000</v>
      </c>
      <c r="D25" s="17">
        <v>15000</v>
      </c>
      <c r="E25" s="118"/>
    </row>
    <row r="26" spans="1:5" x14ac:dyDescent="0.3">
      <c r="A26" s="18" t="s">
        <v>66</v>
      </c>
      <c r="B26" s="17">
        <v>20000</v>
      </c>
      <c r="D26" s="17">
        <v>20000</v>
      </c>
      <c r="E26" s="118"/>
    </row>
    <row r="27" spans="1:5" x14ac:dyDescent="0.3">
      <c r="A27" s="18" t="s">
        <v>21</v>
      </c>
      <c r="B27" s="17">
        <v>45000</v>
      </c>
      <c r="D27" s="17">
        <v>45000</v>
      </c>
      <c r="E27" s="118"/>
    </row>
    <row r="28" spans="1:5" x14ac:dyDescent="0.3">
      <c r="A28" s="18" t="s">
        <v>67</v>
      </c>
      <c r="B28" s="17">
        <v>15000</v>
      </c>
      <c r="D28" s="17">
        <v>15000</v>
      </c>
      <c r="E28" s="118"/>
    </row>
    <row r="29" spans="1:5" x14ac:dyDescent="0.3">
      <c r="A29" s="18" t="s">
        <v>32</v>
      </c>
      <c r="C29" s="17">
        <v>18000</v>
      </c>
      <c r="D29" s="17">
        <v>18000</v>
      </c>
      <c r="E29" s="118"/>
    </row>
    <row r="30" spans="1:5" x14ac:dyDescent="0.3">
      <c r="A30" s="18" t="s">
        <v>231</v>
      </c>
      <c r="B30" s="17">
        <v>40000</v>
      </c>
      <c r="D30" s="17">
        <v>40000</v>
      </c>
      <c r="E30" s="118"/>
    </row>
    <row r="31" spans="1:5" x14ac:dyDescent="0.3">
      <c r="A31" s="18" t="s">
        <v>75</v>
      </c>
      <c r="B31" s="17">
        <v>50000</v>
      </c>
      <c r="C31" s="17">
        <v>54000</v>
      </c>
      <c r="D31" s="17">
        <v>104000</v>
      </c>
      <c r="E31" s="118"/>
    </row>
    <row r="32" spans="1:5" x14ac:dyDescent="0.3">
      <c r="A32" s="18" t="s">
        <v>91</v>
      </c>
      <c r="B32" s="17">
        <v>50000</v>
      </c>
      <c r="C32" s="17">
        <v>24000</v>
      </c>
      <c r="D32" s="17">
        <v>74000</v>
      </c>
      <c r="E32" s="118"/>
    </row>
    <row r="33" spans="1:5" x14ac:dyDescent="0.3">
      <c r="A33" s="18" t="s">
        <v>58</v>
      </c>
      <c r="B33" s="17">
        <v>5000</v>
      </c>
      <c r="D33" s="17">
        <v>5000</v>
      </c>
      <c r="E33" s="118"/>
    </row>
    <row r="34" spans="1:5" x14ac:dyDescent="0.3">
      <c r="A34" s="18" t="s">
        <v>69</v>
      </c>
      <c r="B34" s="17">
        <v>35000</v>
      </c>
      <c r="D34" s="17">
        <v>35000</v>
      </c>
      <c r="E34" s="118"/>
    </row>
    <row r="35" spans="1:5" x14ac:dyDescent="0.3">
      <c r="A35" s="18" t="s">
        <v>49</v>
      </c>
      <c r="B35" s="17">
        <v>40000</v>
      </c>
      <c r="D35" s="17">
        <v>40000</v>
      </c>
      <c r="E35" s="118"/>
    </row>
    <row r="36" spans="1:5" x14ac:dyDescent="0.3">
      <c r="A36" s="18" t="s">
        <v>250</v>
      </c>
      <c r="B36" s="17">
        <v>30000</v>
      </c>
      <c r="D36" s="17">
        <v>30000</v>
      </c>
      <c r="E36" s="118"/>
    </row>
    <row r="37" spans="1:5" x14ac:dyDescent="0.3">
      <c r="A37" s="18" t="s">
        <v>92</v>
      </c>
      <c r="B37" s="17">
        <v>15000</v>
      </c>
      <c r="C37" s="17">
        <v>24000</v>
      </c>
      <c r="D37" s="17">
        <v>39000</v>
      </c>
      <c r="E37" s="118"/>
    </row>
    <row r="38" spans="1:5" x14ac:dyDescent="0.3">
      <c r="A38" s="18" t="s">
        <v>62</v>
      </c>
      <c r="B38" s="17">
        <v>55000</v>
      </c>
      <c r="D38" s="17">
        <v>55000</v>
      </c>
      <c r="E38" s="118"/>
    </row>
    <row r="39" spans="1:5" x14ac:dyDescent="0.3">
      <c r="A39" s="18" t="s">
        <v>77</v>
      </c>
      <c r="B39" s="17">
        <v>10000</v>
      </c>
      <c r="C39" s="17">
        <v>18000</v>
      </c>
      <c r="D39" s="17">
        <v>28000</v>
      </c>
      <c r="E39" s="118"/>
    </row>
    <row r="40" spans="1:5" x14ac:dyDescent="0.3">
      <c r="A40" s="18" t="s">
        <v>15</v>
      </c>
      <c r="B40" s="17">
        <v>15000</v>
      </c>
      <c r="C40" s="17">
        <v>18000</v>
      </c>
      <c r="D40" s="17">
        <v>33000</v>
      </c>
      <c r="E40" s="118"/>
    </row>
    <row r="41" spans="1:5" x14ac:dyDescent="0.3">
      <c r="A41" s="18" t="s">
        <v>35</v>
      </c>
      <c r="B41" s="17">
        <v>20000</v>
      </c>
      <c r="D41" s="17">
        <v>20000</v>
      </c>
      <c r="E41" s="118"/>
    </row>
    <row r="42" spans="1:5" x14ac:dyDescent="0.3">
      <c r="A42" s="18" t="s">
        <v>36</v>
      </c>
      <c r="B42" s="17">
        <v>20000</v>
      </c>
      <c r="C42" s="17">
        <v>36000</v>
      </c>
      <c r="D42" s="17">
        <v>56000</v>
      </c>
      <c r="E42" s="118"/>
    </row>
    <row r="43" spans="1:5" x14ac:dyDescent="0.3">
      <c r="A43" s="18" t="s">
        <v>80</v>
      </c>
      <c r="B43" s="17">
        <v>15000</v>
      </c>
      <c r="D43" s="17">
        <v>15000</v>
      </c>
      <c r="E43" s="118"/>
    </row>
    <row r="44" spans="1:5" x14ac:dyDescent="0.3">
      <c r="A44" s="18" t="s">
        <v>37</v>
      </c>
      <c r="B44" s="17">
        <v>55000</v>
      </c>
      <c r="D44" s="17">
        <v>55000</v>
      </c>
      <c r="E44" s="118"/>
    </row>
    <row r="45" spans="1:5" x14ac:dyDescent="0.3">
      <c r="A45" s="18" t="s">
        <v>16</v>
      </c>
      <c r="B45" s="17">
        <v>15000</v>
      </c>
      <c r="C45" s="17">
        <v>5000</v>
      </c>
      <c r="D45" s="17">
        <v>20000</v>
      </c>
      <c r="E45" s="118"/>
    </row>
    <row r="46" spans="1:5" x14ac:dyDescent="0.3">
      <c r="A46" s="18" t="s">
        <v>78</v>
      </c>
      <c r="B46" s="17">
        <v>5000</v>
      </c>
      <c r="C46" s="17">
        <v>12000</v>
      </c>
      <c r="D46" s="17">
        <v>17000</v>
      </c>
      <c r="E46" s="118"/>
    </row>
    <row r="47" spans="1:5" x14ac:dyDescent="0.3">
      <c r="A47" s="18" t="s">
        <v>198</v>
      </c>
      <c r="B47" s="17">
        <v>980000</v>
      </c>
      <c r="C47" s="17">
        <v>354000</v>
      </c>
      <c r="D47" s="17">
        <v>1334000</v>
      </c>
      <c r="E47" s="118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2"/>
  <sheetViews>
    <sheetView topLeftCell="A16" workbookViewId="0">
      <selection activeCell="C51" sqref="C51"/>
    </sheetView>
  </sheetViews>
  <sheetFormatPr defaultRowHeight="14.4" x14ac:dyDescent="0.3"/>
  <cols>
    <col min="1" max="1" width="35.33203125" style="118" customWidth="1"/>
    <col min="2" max="2" width="15.5546875" style="17" bestFit="1" customWidth="1"/>
    <col min="3" max="3" width="12.6640625" style="17" bestFit="1" customWidth="1"/>
    <col min="4" max="4" width="7" style="17" customWidth="1"/>
    <col min="5" max="5" width="12.6640625" style="17" bestFit="1" customWidth="1"/>
    <col min="6" max="16384" width="8.88671875" style="118"/>
  </cols>
  <sheetData>
    <row r="3" spans="1:5" x14ac:dyDescent="0.3">
      <c r="A3" s="63" t="s">
        <v>199</v>
      </c>
      <c r="B3" s="84" t="s">
        <v>239</v>
      </c>
    </row>
    <row r="4" spans="1:5" x14ac:dyDescent="0.3">
      <c r="A4" s="63" t="s">
        <v>200</v>
      </c>
      <c r="B4" s="17" t="s">
        <v>238</v>
      </c>
      <c r="C4" s="17" t="s">
        <v>237</v>
      </c>
      <c r="D4" s="17" t="s">
        <v>94</v>
      </c>
      <c r="E4" s="17" t="s">
        <v>198</v>
      </c>
    </row>
    <row r="5" spans="1:5" x14ac:dyDescent="0.3">
      <c r="A5" s="18" t="s">
        <v>11</v>
      </c>
      <c r="C5" s="17">
        <v>102000</v>
      </c>
      <c r="E5" s="17">
        <v>102000</v>
      </c>
    </row>
    <row r="6" spans="1:5" x14ac:dyDescent="0.3">
      <c r="A6" s="18" t="s">
        <v>25</v>
      </c>
      <c r="C6" s="17">
        <v>114000</v>
      </c>
      <c r="E6" s="17">
        <v>114000</v>
      </c>
    </row>
    <row r="7" spans="1:5" x14ac:dyDescent="0.3">
      <c r="A7" s="18" t="s">
        <v>51</v>
      </c>
      <c r="C7" s="17">
        <v>54000</v>
      </c>
      <c r="E7" s="17">
        <v>54000</v>
      </c>
    </row>
    <row r="8" spans="1:5" x14ac:dyDescent="0.3">
      <c r="A8" s="18" t="s">
        <v>18</v>
      </c>
      <c r="B8" s="17">
        <v>23333.35</v>
      </c>
      <c r="E8" s="17">
        <v>23333.35</v>
      </c>
    </row>
    <row r="9" spans="1:5" x14ac:dyDescent="0.3">
      <c r="A9" s="18" t="s">
        <v>136</v>
      </c>
    </row>
    <row r="10" spans="1:5" x14ac:dyDescent="0.3">
      <c r="A10" s="18" t="s">
        <v>71</v>
      </c>
      <c r="C10" s="17">
        <v>18000</v>
      </c>
      <c r="E10" s="17">
        <v>18000</v>
      </c>
    </row>
    <row r="11" spans="1:5" x14ac:dyDescent="0.3">
      <c r="A11" s="18" t="s">
        <v>52</v>
      </c>
      <c r="C11" s="17">
        <v>36000</v>
      </c>
      <c r="E11" s="17">
        <v>36000</v>
      </c>
    </row>
    <row r="12" spans="1:5" x14ac:dyDescent="0.3">
      <c r="A12" s="18" t="s">
        <v>12</v>
      </c>
      <c r="B12" s="17">
        <v>4666.67</v>
      </c>
      <c r="C12" s="17">
        <v>36000</v>
      </c>
      <c r="E12" s="17">
        <v>40666.67</v>
      </c>
    </row>
    <row r="13" spans="1:5" x14ac:dyDescent="0.3">
      <c r="A13" s="18" t="s">
        <v>73</v>
      </c>
      <c r="C13" s="17">
        <v>90000</v>
      </c>
      <c r="E13" s="17">
        <v>90000</v>
      </c>
    </row>
    <row r="14" spans="1:5" x14ac:dyDescent="0.3">
      <c r="A14" s="18" t="s">
        <v>19</v>
      </c>
      <c r="B14" s="17">
        <v>9333.34</v>
      </c>
      <c r="E14" s="17">
        <v>9333.34</v>
      </c>
    </row>
    <row r="15" spans="1:5" x14ac:dyDescent="0.3">
      <c r="A15" s="18" t="s">
        <v>43</v>
      </c>
      <c r="C15" s="17">
        <v>96000</v>
      </c>
      <c r="E15" s="17">
        <v>96000</v>
      </c>
    </row>
    <row r="16" spans="1:5" x14ac:dyDescent="0.3">
      <c r="A16" s="18" t="s">
        <v>96</v>
      </c>
    </row>
    <row r="17" spans="1:5" x14ac:dyDescent="0.3">
      <c r="A17" s="18" t="s">
        <v>74</v>
      </c>
      <c r="B17" s="17">
        <v>4666.67</v>
      </c>
      <c r="C17" s="17">
        <v>36000</v>
      </c>
      <c r="E17" s="17">
        <v>40666.67</v>
      </c>
    </row>
    <row r="18" spans="1:5" x14ac:dyDescent="0.3">
      <c r="A18" s="18" t="s">
        <v>27</v>
      </c>
      <c r="C18" s="17">
        <v>36000</v>
      </c>
      <c r="E18" s="17">
        <v>36000</v>
      </c>
    </row>
    <row r="19" spans="1:5" x14ac:dyDescent="0.3">
      <c r="A19" s="18" t="s">
        <v>39</v>
      </c>
      <c r="C19" s="17">
        <v>84000</v>
      </c>
      <c r="E19" s="17">
        <v>84000</v>
      </c>
    </row>
    <row r="20" spans="1:5" x14ac:dyDescent="0.3">
      <c r="A20" s="18" t="s">
        <v>44</v>
      </c>
      <c r="C20" s="17">
        <v>186000</v>
      </c>
      <c r="E20" s="17">
        <v>186000</v>
      </c>
    </row>
    <row r="21" spans="1:5" x14ac:dyDescent="0.3">
      <c r="A21" s="18" t="s">
        <v>28</v>
      </c>
      <c r="C21" s="17">
        <v>18000</v>
      </c>
      <c r="E21" s="17">
        <v>18000</v>
      </c>
    </row>
    <row r="22" spans="1:5" x14ac:dyDescent="0.3">
      <c r="A22" s="18" t="s">
        <v>13</v>
      </c>
      <c r="C22" s="17">
        <v>36000</v>
      </c>
      <c r="E22" s="17">
        <v>36000</v>
      </c>
    </row>
    <row r="23" spans="1:5" x14ac:dyDescent="0.3">
      <c r="A23" s="18" t="s">
        <v>46</v>
      </c>
      <c r="B23" s="17">
        <v>9333.34</v>
      </c>
      <c r="C23" s="17">
        <v>36000</v>
      </c>
      <c r="E23" s="17">
        <v>45333.34</v>
      </c>
    </row>
    <row r="24" spans="1:5" x14ac:dyDescent="0.3">
      <c r="A24" s="18" t="s">
        <v>23</v>
      </c>
      <c r="B24" s="17">
        <v>14000</v>
      </c>
      <c r="E24" s="17">
        <v>14000</v>
      </c>
    </row>
    <row r="25" spans="1:5" x14ac:dyDescent="0.3">
      <c r="A25" s="18" t="s">
        <v>48</v>
      </c>
      <c r="C25" s="17">
        <v>54000</v>
      </c>
      <c r="E25" s="17">
        <v>54000</v>
      </c>
    </row>
    <row r="26" spans="1:5" x14ac:dyDescent="0.3">
      <c r="A26" s="18" t="s">
        <v>183</v>
      </c>
      <c r="B26" s="17">
        <v>4666.67</v>
      </c>
      <c r="E26" s="17">
        <v>4666.67</v>
      </c>
    </row>
    <row r="27" spans="1:5" x14ac:dyDescent="0.3">
      <c r="A27" s="18" t="s">
        <v>137</v>
      </c>
    </row>
    <row r="28" spans="1:5" x14ac:dyDescent="0.3">
      <c r="A28" s="18" t="s">
        <v>89</v>
      </c>
      <c r="C28" s="17">
        <v>36000</v>
      </c>
      <c r="E28" s="17">
        <v>36000</v>
      </c>
    </row>
    <row r="29" spans="1:5" x14ac:dyDescent="0.3">
      <c r="A29" s="18" t="s">
        <v>93</v>
      </c>
      <c r="C29" s="17">
        <v>18000</v>
      </c>
      <c r="E29" s="17">
        <v>18000</v>
      </c>
    </row>
    <row r="30" spans="1:5" x14ac:dyDescent="0.3">
      <c r="A30" s="18" t="s">
        <v>20</v>
      </c>
      <c r="B30" s="17">
        <v>9333.34</v>
      </c>
      <c r="E30" s="17">
        <v>9333.34</v>
      </c>
    </row>
    <row r="31" spans="1:5" x14ac:dyDescent="0.3">
      <c r="A31" s="18" t="s">
        <v>66</v>
      </c>
      <c r="B31" s="17">
        <v>9333.34</v>
      </c>
      <c r="E31" s="17">
        <v>9333.34</v>
      </c>
    </row>
    <row r="32" spans="1:5" x14ac:dyDescent="0.3">
      <c r="A32" s="18" t="s">
        <v>21</v>
      </c>
      <c r="B32" s="17">
        <v>14000.01</v>
      </c>
      <c r="E32" s="17">
        <v>14000.01</v>
      </c>
    </row>
    <row r="33" spans="1:5" x14ac:dyDescent="0.3">
      <c r="A33" s="18" t="s">
        <v>67</v>
      </c>
      <c r="B33" s="17">
        <v>4666.67</v>
      </c>
      <c r="E33" s="17">
        <v>4666.67</v>
      </c>
    </row>
    <row r="34" spans="1:5" x14ac:dyDescent="0.3">
      <c r="A34" s="18" t="s">
        <v>32</v>
      </c>
      <c r="C34" s="17">
        <v>12000</v>
      </c>
      <c r="E34" s="17">
        <v>12000</v>
      </c>
    </row>
    <row r="35" spans="1:5" x14ac:dyDescent="0.3">
      <c r="A35" s="18" t="s">
        <v>231</v>
      </c>
      <c r="B35" s="17">
        <v>9333.34</v>
      </c>
      <c r="C35" s="17">
        <v>30000</v>
      </c>
      <c r="E35" s="17">
        <v>39333.339999999997</v>
      </c>
    </row>
    <row r="36" spans="1:5" x14ac:dyDescent="0.3">
      <c r="A36" s="18" t="s">
        <v>75</v>
      </c>
      <c r="C36" s="17">
        <v>42000</v>
      </c>
      <c r="E36" s="17">
        <v>42000</v>
      </c>
    </row>
    <row r="37" spans="1:5" x14ac:dyDescent="0.3">
      <c r="A37" s="18" t="s">
        <v>91</v>
      </c>
      <c r="C37" s="17">
        <v>108000</v>
      </c>
      <c r="E37" s="17">
        <v>108000</v>
      </c>
    </row>
    <row r="38" spans="1:5" x14ac:dyDescent="0.3">
      <c r="A38" s="18" t="s">
        <v>138</v>
      </c>
      <c r="C38" s="17">
        <v>18000</v>
      </c>
      <c r="E38" s="17">
        <v>18000</v>
      </c>
    </row>
    <row r="39" spans="1:5" x14ac:dyDescent="0.3">
      <c r="A39" s="18" t="s">
        <v>58</v>
      </c>
      <c r="B39" s="17">
        <v>4666.67</v>
      </c>
      <c r="E39" s="17">
        <v>4666.67</v>
      </c>
    </row>
    <row r="40" spans="1:5" x14ac:dyDescent="0.3">
      <c r="A40" s="18" t="s">
        <v>76</v>
      </c>
      <c r="C40" s="17">
        <v>60000</v>
      </c>
      <c r="E40" s="17">
        <v>60000</v>
      </c>
    </row>
    <row r="41" spans="1:5" x14ac:dyDescent="0.3">
      <c r="A41" s="18" t="s">
        <v>33</v>
      </c>
      <c r="C41" s="17">
        <v>18000</v>
      </c>
      <c r="E41" s="17">
        <v>18000</v>
      </c>
    </row>
    <row r="42" spans="1:5" x14ac:dyDescent="0.3">
      <c r="A42" s="18" t="s">
        <v>49</v>
      </c>
      <c r="B42" s="17">
        <v>9333.34</v>
      </c>
      <c r="C42" s="17">
        <v>24000</v>
      </c>
      <c r="E42" s="17">
        <v>33333.339999999997</v>
      </c>
    </row>
    <row r="43" spans="1:5" x14ac:dyDescent="0.3">
      <c r="A43" s="18" t="s">
        <v>55</v>
      </c>
      <c r="B43" s="17">
        <v>18666.68</v>
      </c>
      <c r="E43" s="17">
        <v>18666.68</v>
      </c>
    </row>
    <row r="44" spans="1:5" x14ac:dyDescent="0.3">
      <c r="A44" s="18" t="s">
        <v>250</v>
      </c>
      <c r="B44" s="17">
        <v>18666.669999999998</v>
      </c>
      <c r="E44" s="17">
        <v>18666.669999999998</v>
      </c>
    </row>
    <row r="45" spans="1:5" x14ac:dyDescent="0.3">
      <c r="A45" s="18" t="s">
        <v>54</v>
      </c>
      <c r="C45" s="17">
        <v>42000</v>
      </c>
      <c r="E45" s="17">
        <v>42000</v>
      </c>
    </row>
    <row r="46" spans="1:5" x14ac:dyDescent="0.3">
      <c r="A46" s="18" t="s">
        <v>97</v>
      </c>
    </row>
    <row r="47" spans="1:5" x14ac:dyDescent="0.3">
      <c r="A47" s="18" t="s">
        <v>92</v>
      </c>
      <c r="C47" s="17">
        <v>84000</v>
      </c>
      <c r="E47" s="17">
        <v>84000</v>
      </c>
    </row>
    <row r="48" spans="1:5" x14ac:dyDescent="0.3">
      <c r="A48" s="18" t="s">
        <v>139</v>
      </c>
    </row>
    <row r="49" spans="1:5" x14ac:dyDescent="0.3">
      <c r="A49" s="18" t="s">
        <v>56</v>
      </c>
      <c r="C49" s="17">
        <v>36000</v>
      </c>
      <c r="E49" s="17">
        <v>36000</v>
      </c>
    </row>
    <row r="50" spans="1:5" x14ac:dyDescent="0.3">
      <c r="A50" s="18" t="s">
        <v>62</v>
      </c>
      <c r="B50" s="17">
        <v>4666.67</v>
      </c>
      <c r="E50" s="17">
        <v>4666.67</v>
      </c>
    </row>
    <row r="51" spans="1:5" x14ac:dyDescent="0.3">
      <c r="A51" s="18" t="s">
        <v>77</v>
      </c>
      <c r="C51" s="17">
        <v>180000</v>
      </c>
      <c r="E51" s="17">
        <v>180000</v>
      </c>
    </row>
    <row r="52" spans="1:5" x14ac:dyDescent="0.3">
      <c r="A52" s="18" t="s">
        <v>249</v>
      </c>
    </row>
    <row r="53" spans="1:5" x14ac:dyDescent="0.3">
      <c r="A53" s="18" t="s">
        <v>15</v>
      </c>
      <c r="C53" s="17">
        <v>36000</v>
      </c>
      <c r="E53" s="17">
        <v>36000</v>
      </c>
    </row>
    <row r="54" spans="1:5" x14ac:dyDescent="0.3">
      <c r="A54" s="18" t="s">
        <v>36</v>
      </c>
      <c r="B54" s="17">
        <v>9333.34</v>
      </c>
      <c r="C54" s="17">
        <v>54000</v>
      </c>
      <c r="E54" s="17">
        <v>63333.34</v>
      </c>
    </row>
    <row r="55" spans="1:5" x14ac:dyDescent="0.3">
      <c r="A55" s="18" t="s">
        <v>184</v>
      </c>
      <c r="B55" s="17">
        <v>14000.01</v>
      </c>
      <c r="E55" s="17">
        <v>14000.01</v>
      </c>
    </row>
    <row r="56" spans="1:5" x14ac:dyDescent="0.3">
      <c r="A56" s="18" t="s">
        <v>80</v>
      </c>
      <c r="B56" s="17">
        <v>4666.67</v>
      </c>
      <c r="C56" s="17">
        <v>36000</v>
      </c>
      <c r="E56" s="17">
        <v>40666.67</v>
      </c>
    </row>
    <row r="57" spans="1:5" x14ac:dyDescent="0.3">
      <c r="A57" s="18" t="s">
        <v>37</v>
      </c>
      <c r="C57" s="17">
        <v>36000</v>
      </c>
      <c r="E57" s="17">
        <v>36000</v>
      </c>
    </row>
    <row r="58" spans="1:5" x14ac:dyDescent="0.3">
      <c r="A58" s="18" t="s">
        <v>16</v>
      </c>
      <c r="B58" s="17">
        <v>4666.67</v>
      </c>
      <c r="C58" s="17">
        <v>60000</v>
      </c>
      <c r="E58" s="17">
        <v>64666.67</v>
      </c>
    </row>
    <row r="59" spans="1:5" x14ac:dyDescent="0.3">
      <c r="A59" s="18" t="s">
        <v>78</v>
      </c>
      <c r="C59" s="17">
        <v>36000</v>
      </c>
      <c r="E59" s="17">
        <v>36000</v>
      </c>
    </row>
    <row r="60" spans="1:5" x14ac:dyDescent="0.3">
      <c r="A60" s="18" t="s">
        <v>64</v>
      </c>
      <c r="B60" s="17">
        <v>4666.67</v>
      </c>
      <c r="E60" s="17">
        <v>4666.67</v>
      </c>
    </row>
    <row r="61" spans="1:5" x14ac:dyDescent="0.3">
      <c r="A61" s="18" t="s">
        <v>198</v>
      </c>
      <c r="B61" s="17">
        <v>210000.13000000003</v>
      </c>
      <c r="C61" s="17">
        <v>1998000</v>
      </c>
      <c r="E61" s="17">
        <v>2208000.13</v>
      </c>
    </row>
    <row r="62" spans="1:5" x14ac:dyDescent="0.3">
      <c r="A62"/>
      <c r="B62"/>
      <c r="C62"/>
      <c r="D62"/>
      <c r="E62"/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29"/>
  <sheetViews>
    <sheetView tabSelected="1" topLeftCell="A79" workbookViewId="0">
      <pane xSplit="2" topLeftCell="M1" activePane="topRight" state="frozen"/>
      <selection pane="topRight" activeCell="T104" sqref="T104"/>
    </sheetView>
  </sheetViews>
  <sheetFormatPr defaultRowHeight="12" x14ac:dyDescent="0.25"/>
  <cols>
    <col min="1" max="1" width="22.88671875" style="5" customWidth="1"/>
    <col min="2" max="2" width="24.33203125" style="3" customWidth="1"/>
    <col min="3" max="3" width="7.5546875" style="1" bestFit="1" customWidth="1"/>
    <col min="4" max="4" width="6.21875" style="1" bestFit="1" customWidth="1"/>
    <col min="5" max="5" width="6.21875" style="14" bestFit="1" customWidth="1"/>
    <col min="6" max="6" width="6.33203125" style="1" bestFit="1" customWidth="1"/>
    <col min="7" max="7" width="5.77734375" style="1" bestFit="1" customWidth="1"/>
    <col min="8" max="8" width="5.44140625" style="152" bestFit="1" customWidth="1"/>
    <col min="9" max="9" width="4.33203125" style="10" bestFit="1" customWidth="1"/>
    <col min="10" max="10" width="7.5546875" style="1" bestFit="1" customWidth="1"/>
    <col min="11" max="11" width="6.21875" style="81" bestFit="1" customWidth="1"/>
    <col min="12" max="12" width="6.21875" style="78" bestFit="1" customWidth="1"/>
    <col min="13" max="13" width="6.33203125" style="81" bestFit="1" customWidth="1"/>
    <col min="14" max="14" width="5.77734375" style="81" bestFit="1" customWidth="1"/>
    <col min="15" max="15" width="5.44140625" style="14" bestFit="1" customWidth="1"/>
    <col min="16" max="16" width="5.109375" style="10" bestFit="1" customWidth="1"/>
    <col min="17" max="17" width="6" style="12" bestFit="1" customWidth="1"/>
    <col min="18" max="18" width="9.88671875" style="12" bestFit="1" customWidth="1"/>
    <col min="19" max="19" width="9.88671875" style="2" bestFit="1" customWidth="1"/>
    <col min="20" max="20" width="10.44140625" style="2" bestFit="1" customWidth="1"/>
    <col min="21" max="21" width="5.21875" style="12" customWidth="1"/>
    <col min="22" max="22" width="7.77734375" style="135" bestFit="1" customWidth="1"/>
    <col min="23" max="23" width="5.6640625" style="137" bestFit="1" customWidth="1"/>
    <col min="24" max="24" width="5.6640625" style="153" customWidth="1"/>
    <col min="25" max="26" width="5.6640625" style="158" customWidth="1"/>
    <col min="27" max="27" width="7.33203125" style="2" bestFit="1" customWidth="1"/>
    <col min="28" max="28" width="10" style="2" bestFit="1" customWidth="1"/>
    <col min="29" max="30" width="9.88671875" style="12" bestFit="1" customWidth="1"/>
    <col min="31" max="31" width="8.88671875" style="1"/>
    <col min="32" max="32" width="8.5546875" style="141" customWidth="1"/>
    <col min="33" max="33" width="5.6640625" style="142" bestFit="1" customWidth="1"/>
    <col min="34" max="34" width="8.88671875" style="162"/>
    <col min="35" max="36" width="8.88671875" style="142"/>
    <col min="37" max="16384" width="8.88671875" style="3"/>
  </cols>
  <sheetData>
    <row r="1" spans="1:36" s="5" customFormat="1" x14ac:dyDescent="0.25">
      <c r="A1" s="5" t="s">
        <v>0</v>
      </c>
      <c r="C1" s="152"/>
      <c r="D1" s="152"/>
      <c r="E1" s="14"/>
      <c r="F1" s="152"/>
      <c r="G1" s="152"/>
      <c r="H1" s="152"/>
      <c r="I1" s="10"/>
      <c r="J1" s="152"/>
      <c r="K1" s="77"/>
      <c r="L1" s="78"/>
      <c r="M1" s="77"/>
      <c r="N1" s="77"/>
      <c r="O1" s="14"/>
      <c r="P1" s="10"/>
      <c r="Q1" s="14"/>
      <c r="R1" s="12" t="s">
        <v>232</v>
      </c>
      <c r="S1" s="8"/>
      <c r="T1" s="76">
        <v>0.05</v>
      </c>
      <c r="U1" s="127"/>
      <c r="V1" s="129"/>
      <c r="W1" s="130"/>
      <c r="X1" s="161"/>
      <c r="Y1" s="154"/>
      <c r="Z1" s="154"/>
      <c r="AA1" s="76"/>
      <c r="AB1" s="8"/>
      <c r="AC1" s="14"/>
      <c r="AD1" s="14"/>
      <c r="AE1" s="152"/>
      <c r="AF1" s="138"/>
      <c r="AG1" s="139"/>
      <c r="AH1" s="164"/>
      <c r="AI1" s="163"/>
      <c r="AJ1" s="163"/>
    </row>
    <row r="2" spans="1:36" s="5" customFormat="1" x14ac:dyDescent="0.25">
      <c r="A2" s="5" t="s">
        <v>88</v>
      </c>
      <c r="C2" s="152"/>
      <c r="D2" s="152"/>
      <c r="E2" s="14"/>
      <c r="F2" s="152"/>
      <c r="G2" s="152"/>
      <c r="H2" s="152"/>
      <c r="I2" s="10"/>
      <c r="J2" s="152"/>
      <c r="K2" s="77"/>
      <c r="L2" s="78"/>
      <c r="M2" s="77"/>
      <c r="N2" s="77"/>
      <c r="O2" s="14"/>
      <c r="P2" s="10"/>
      <c r="Q2" s="14"/>
      <c r="R2" s="14"/>
      <c r="S2" s="8"/>
      <c r="T2" s="8"/>
      <c r="U2" s="14"/>
      <c r="V2" s="131"/>
      <c r="W2" s="132"/>
      <c r="X2" s="78"/>
      <c r="Y2" s="155"/>
      <c r="Z2" s="155"/>
      <c r="AA2" s="8"/>
      <c r="AB2" s="8"/>
      <c r="AC2" s="14"/>
      <c r="AD2" s="14"/>
      <c r="AE2" s="152"/>
      <c r="AF2" s="138"/>
      <c r="AG2" s="139"/>
      <c r="AH2" s="164"/>
      <c r="AI2" s="163"/>
      <c r="AJ2" s="163"/>
    </row>
    <row r="3" spans="1:36" x14ac:dyDescent="0.25">
      <c r="AI3" s="159"/>
      <c r="AJ3" s="159"/>
    </row>
    <row r="4" spans="1:36" s="5" customFormat="1" ht="14.4" customHeight="1" x14ac:dyDescent="0.25">
      <c r="C4" s="168" t="s">
        <v>1</v>
      </c>
      <c r="D4" s="168"/>
      <c r="E4" s="168"/>
      <c r="F4" s="168"/>
      <c r="G4" s="168"/>
      <c r="H4" s="168"/>
      <c r="I4" s="169"/>
      <c r="J4" s="168" t="s">
        <v>104</v>
      </c>
      <c r="K4" s="168"/>
      <c r="L4" s="168"/>
      <c r="M4" s="168"/>
      <c r="N4" s="168"/>
      <c r="O4" s="168"/>
      <c r="P4" s="169"/>
      <c r="Q4" s="177" t="s">
        <v>240</v>
      </c>
      <c r="R4" s="178"/>
      <c r="S4" s="178"/>
      <c r="T4" s="178"/>
      <c r="U4" s="178"/>
      <c r="V4" s="178"/>
      <c r="W4" s="178"/>
      <c r="X4" s="178"/>
      <c r="Y4" s="178"/>
      <c r="Z4" s="178"/>
      <c r="AA4" s="167" t="s">
        <v>241</v>
      </c>
      <c r="AB4" s="167"/>
      <c r="AC4" s="167"/>
      <c r="AD4" s="167"/>
      <c r="AE4" s="167"/>
      <c r="AF4" s="167"/>
      <c r="AG4" s="167"/>
      <c r="AH4" s="167"/>
      <c r="AI4" s="167"/>
      <c r="AJ4" s="167"/>
    </row>
    <row r="5" spans="1:36" s="5" customFormat="1" ht="48.6" thickBot="1" x14ac:dyDescent="0.3">
      <c r="A5" s="7" t="s">
        <v>2</v>
      </c>
      <c r="B5" s="7" t="s">
        <v>3</v>
      </c>
      <c r="C5" s="9" t="s">
        <v>5</v>
      </c>
      <c r="D5" s="9" t="s">
        <v>98</v>
      </c>
      <c r="E5" s="6" t="s">
        <v>99</v>
      </c>
      <c r="F5" s="9" t="s">
        <v>100</v>
      </c>
      <c r="G5" s="9" t="s">
        <v>101</v>
      </c>
      <c r="H5" s="9" t="s">
        <v>102</v>
      </c>
      <c r="I5" s="13" t="s">
        <v>4</v>
      </c>
      <c r="J5" s="9" t="s">
        <v>5</v>
      </c>
      <c r="K5" s="79" t="s">
        <v>98</v>
      </c>
      <c r="L5" s="80" t="s">
        <v>99</v>
      </c>
      <c r="M5" s="79" t="s">
        <v>100</v>
      </c>
      <c r="N5" s="79" t="s">
        <v>101</v>
      </c>
      <c r="O5" s="6" t="s">
        <v>102</v>
      </c>
      <c r="P5" s="13" t="s">
        <v>4</v>
      </c>
      <c r="Q5" s="6" t="s">
        <v>235</v>
      </c>
      <c r="R5" s="11" t="s">
        <v>6</v>
      </c>
      <c r="S5" s="11" t="s">
        <v>7</v>
      </c>
      <c r="T5" s="15" t="s">
        <v>103</v>
      </c>
      <c r="U5" s="73" t="s">
        <v>8</v>
      </c>
      <c r="V5" s="133" t="s">
        <v>234</v>
      </c>
      <c r="W5" s="134" t="s">
        <v>2</v>
      </c>
      <c r="X5" s="80" t="s">
        <v>251</v>
      </c>
      <c r="Y5" s="160" t="s">
        <v>252</v>
      </c>
      <c r="Z5" s="160" t="s">
        <v>253</v>
      </c>
      <c r="AA5" s="6" t="s">
        <v>242</v>
      </c>
      <c r="AB5" s="11" t="s">
        <v>6</v>
      </c>
      <c r="AC5" s="11" t="s">
        <v>7</v>
      </c>
      <c r="AD5" s="15" t="s">
        <v>103</v>
      </c>
      <c r="AE5" s="73" t="s">
        <v>8</v>
      </c>
      <c r="AF5" s="140" t="s">
        <v>234</v>
      </c>
      <c r="AG5" s="134" t="s">
        <v>2</v>
      </c>
      <c r="AH5" s="80" t="s">
        <v>251</v>
      </c>
      <c r="AI5" s="160" t="s">
        <v>252</v>
      </c>
      <c r="AJ5" s="160" t="s">
        <v>253</v>
      </c>
    </row>
    <row r="6" spans="1:36" x14ac:dyDescent="0.25">
      <c r="R6" s="2"/>
      <c r="W6" s="136"/>
      <c r="Y6" s="156"/>
      <c r="Z6" s="156"/>
      <c r="AA6" s="12"/>
      <c r="AC6" s="2"/>
      <c r="AD6" s="2"/>
      <c r="AE6" s="12"/>
      <c r="AG6" s="136"/>
      <c r="AH6" s="153"/>
      <c r="AI6" s="156"/>
      <c r="AJ6" s="156"/>
    </row>
    <row r="7" spans="1:36" ht="14.4" x14ac:dyDescent="0.3">
      <c r="A7" s="139" t="s">
        <v>9</v>
      </c>
      <c r="B7" s="3" t="s">
        <v>10</v>
      </c>
      <c r="C7" s="120">
        <v>16</v>
      </c>
      <c r="D7" s="120">
        <v>7</v>
      </c>
      <c r="E7" s="121">
        <v>15.65</v>
      </c>
      <c r="F7" s="118"/>
      <c r="G7" s="118"/>
      <c r="H7" s="122"/>
      <c r="I7" s="123">
        <v>15.65</v>
      </c>
      <c r="J7" s="1">
        <f>((VLOOKUP($B7,'OIA Masters table'!$A$12:$Q$203,2,FALSE)+(VLOOKUP($B7,'OIA Masters table'!$A$12:$Q$203,4,FALSE))))</f>
        <v>19</v>
      </c>
      <c r="K7" s="81">
        <f>(VLOOKUP(Budget!$B7,'OIA Masters table'!A11:Q203,5,FALSE)+(VLOOKUP(Budget!$B7,'OIA Masters table'!A11:Q203,6,FALSE)))</f>
        <v>8</v>
      </c>
      <c r="L7" s="78">
        <f t="shared" ref="L7:L15" si="0">J7-(K7*$T$1)</f>
        <v>18.600000000000001</v>
      </c>
      <c r="P7" s="10">
        <f>L7+O7</f>
        <v>18.600000000000001</v>
      </c>
      <c r="Q7" s="12">
        <f>AVERAGE(E7,L7)</f>
        <v>17.125</v>
      </c>
      <c r="R7" s="2">
        <f t="shared" ref="R7:R15" si="1">Q7*$B$129</f>
        <v>37943.031066516858</v>
      </c>
      <c r="S7" s="2">
        <f>VLOOKUP(B7, 'May MGS Renewals'!$A$3:$D$47,2,FALSE)</f>
        <v>20000</v>
      </c>
      <c r="T7" s="2">
        <f>R7-S7</f>
        <v>17943.031066516858</v>
      </c>
      <c r="U7" s="12">
        <v>1.4354424853213501</v>
      </c>
      <c r="V7" s="135">
        <f t="shared" ref="V7:V15" si="2">ROUNDDOWN(U7,0)</f>
        <v>1</v>
      </c>
      <c r="W7" s="136"/>
      <c r="X7" s="153">
        <f>T7/12500</f>
        <v>1.4354424853213485</v>
      </c>
      <c r="Y7" s="157">
        <f>ROUNDDOWN(X7,0)</f>
        <v>1</v>
      </c>
      <c r="Z7" s="156"/>
      <c r="AA7" s="12"/>
      <c r="AC7" s="2"/>
      <c r="AD7" s="2"/>
      <c r="AE7" s="12">
        <v>0</v>
      </c>
      <c r="AF7" s="141">
        <f>ROUNDDOWN(AE7,0)</f>
        <v>0</v>
      </c>
      <c r="AG7" s="136"/>
      <c r="AH7" s="153">
        <f>AD7/15000</f>
        <v>0</v>
      </c>
      <c r="AI7" s="157">
        <f>ROUNDDOWN(AH7,0)</f>
        <v>0</v>
      </c>
      <c r="AJ7" s="156"/>
    </row>
    <row r="8" spans="1:36" x14ac:dyDescent="0.25">
      <c r="B8" s="3" t="s">
        <v>11</v>
      </c>
      <c r="C8" s="120">
        <v>8</v>
      </c>
      <c r="D8" s="120">
        <v>6</v>
      </c>
      <c r="E8" s="121">
        <v>7.7</v>
      </c>
      <c r="F8" s="120">
        <v>13</v>
      </c>
      <c r="G8" s="120">
        <v>6</v>
      </c>
      <c r="H8" s="121">
        <v>12.7</v>
      </c>
      <c r="I8" s="123">
        <v>20.399999999999999</v>
      </c>
      <c r="J8" s="1">
        <f>((VLOOKUP($B8,'OIA Masters table'!$A$12:$Q$203,2,FALSE)+(VLOOKUP($B8,'OIA Masters table'!$A$12:$Q$203,4,FALSE))))</f>
        <v>9</v>
      </c>
      <c r="K8" s="81">
        <f>(VLOOKUP(Budget!$B8,'OIA Masters table'!A12:Q204,5,FALSE)+(VLOOKUP(Budget!$B8,'OIA Masters table'!A12:Q204,6,FALSE)))</f>
        <v>7</v>
      </c>
      <c r="L8" s="78">
        <f t="shared" si="0"/>
        <v>8.65</v>
      </c>
      <c r="M8" s="81">
        <f>(VLOOKUP($B8,'OIA PHD_table'!$A$12:$R$129,2,FALSE)+(VLOOKUP($B8,'OIA PHD_table'!$A$12:$R$129,4,FALSE)))</f>
        <v>12</v>
      </c>
      <c r="N8" s="81">
        <f>(VLOOKUP($B8,'OIA PHD_table'!$A$12:$R$129,5,FALSE)+(VLOOKUP($B8,'OIA PHD_table'!$A$12:$R$129,6,FALSE)))</f>
        <v>5</v>
      </c>
      <c r="O8" s="14">
        <f>M8-(N8*$T$1)</f>
        <v>11.75</v>
      </c>
      <c r="P8" s="10">
        <f t="shared" ref="P8:P15" si="3">L8+O8</f>
        <v>20.399999999999999</v>
      </c>
      <c r="Q8" s="12">
        <f t="shared" ref="Q8:Q70" si="4">AVERAGE(E8,L8)</f>
        <v>8.1750000000000007</v>
      </c>
      <c r="R8" s="2">
        <f t="shared" si="1"/>
        <v>18112.950596716808</v>
      </c>
      <c r="S8" s="2">
        <f>VLOOKUP(B8, 'May MGS Renewals'!$A$3:$D$47,2,FALSE)</f>
        <v>15000</v>
      </c>
      <c r="T8" s="2">
        <f t="shared" ref="T8:T15" si="5">R8-S8</f>
        <v>3112.9505967168079</v>
      </c>
      <c r="U8" s="12">
        <v>0.249036047737345</v>
      </c>
      <c r="V8" s="135">
        <f t="shared" si="2"/>
        <v>0</v>
      </c>
      <c r="W8" s="136"/>
      <c r="X8" s="153">
        <f t="shared" ref="X8:X15" si="6">T8/12500</f>
        <v>0.24903604773734464</v>
      </c>
      <c r="Y8" s="157">
        <f t="shared" ref="Y8:Y15" si="7">ROUNDDOWN(X8,0)</f>
        <v>0</v>
      </c>
      <c r="Z8" s="156"/>
      <c r="AA8" s="12">
        <f>AVERAGE(H8,O8)</f>
        <v>12.225</v>
      </c>
      <c r="AB8" s="2">
        <f>AA8*$B$120</f>
        <v>65378.038327985574</v>
      </c>
      <c r="AC8" s="165">
        <f>VLOOKUP(B8,'May UMGF Renewals'!$A$1:$E$67,3,FALSE)</f>
        <v>102000</v>
      </c>
      <c r="AD8" s="2">
        <f>AB8-AC8</f>
        <v>-36621.961672014426</v>
      </c>
      <c r="AE8" s="12">
        <v>-2.4414641114676301</v>
      </c>
      <c r="AF8" s="141">
        <f t="shared" ref="AF8:AF15" si="8">ROUNDDOWN(AE8,0)</f>
        <v>-2</v>
      </c>
      <c r="AG8" s="136"/>
      <c r="AH8" s="153">
        <f t="shared" ref="AH8:AH15" si="9">AD8/15000</f>
        <v>-2.4414641114676283</v>
      </c>
      <c r="AI8" s="157">
        <f t="shared" ref="AI8:AI15" si="10">ROUNDDOWN(AH8,0)</f>
        <v>-2</v>
      </c>
      <c r="AJ8" s="156"/>
    </row>
    <row r="9" spans="1:36" x14ac:dyDescent="0.25">
      <c r="B9" s="3" t="s">
        <v>12</v>
      </c>
      <c r="C9" s="120">
        <v>20</v>
      </c>
      <c r="D9" s="120">
        <v>5</v>
      </c>
      <c r="E9" s="121">
        <v>19.75</v>
      </c>
      <c r="F9" s="120">
        <v>15</v>
      </c>
      <c r="G9" s="120">
        <v>9</v>
      </c>
      <c r="H9" s="121">
        <v>14.55</v>
      </c>
      <c r="I9" s="123">
        <v>34.299999999999997</v>
      </c>
      <c r="J9" s="1">
        <f>((VLOOKUP($B9,'OIA Masters table'!$A$12:$Q$203,2,FALSE)+(VLOOKUP($B9,'OIA Masters table'!$A$12:$Q$203,4,FALSE))))</f>
        <v>8</v>
      </c>
      <c r="K9" s="81">
        <f>(VLOOKUP(Budget!$B9,'OIA Masters table'!A13:Q205,5,FALSE)+(VLOOKUP(Budget!$B9,'OIA Masters table'!A13:Q205,6,FALSE)))</f>
        <v>1</v>
      </c>
      <c r="L9" s="78">
        <f t="shared" si="0"/>
        <v>7.95</v>
      </c>
      <c r="M9" s="81">
        <f>(VLOOKUP($B9,'OIA PHD_table'!$A$12:$R$129,2,FALSE)+(VLOOKUP($B9,'OIA PHD_table'!$A$12:$R$129,4,FALSE)))</f>
        <v>13</v>
      </c>
      <c r="N9" s="81">
        <f>(VLOOKUP($B9,'OIA PHD_table'!$A$12:$R$129,5,FALSE)+(VLOOKUP($B9,'OIA PHD_table'!$A$12:$R$129,6,FALSE)))</f>
        <v>13</v>
      </c>
      <c r="O9" s="14">
        <f>M9-(N9*$T$1)</f>
        <v>12.35</v>
      </c>
      <c r="P9" s="10">
        <f t="shared" si="3"/>
        <v>20.3</v>
      </c>
      <c r="Q9" s="12">
        <f t="shared" si="4"/>
        <v>13.85</v>
      </c>
      <c r="R9" s="2">
        <f t="shared" si="1"/>
        <v>30686.772570584439</v>
      </c>
      <c r="S9" s="2">
        <f>VLOOKUP(B9, 'May MGS Renewals'!$A$3:$D$47,2,FALSE)</f>
        <v>35000</v>
      </c>
      <c r="T9" s="2">
        <f t="shared" si="5"/>
        <v>-4313.2274294155613</v>
      </c>
      <c r="U9" s="12">
        <v>-0.34505819435324497</v>
      </c>
      <c r="V9" s="135">
        <f t="shared" si="2"/>
        <v>0</v>
      </c>
      <c r="W9" s="136"/>
      <c r="X9" s="153">
        <f t="shared" si="6"/>
        <v>-0.34505819435324492</v>
      </c>
      <c r="Y9" s="157">
        <f t="shared" si="7"/>
        <v>0</v>
      </c>
      <c r="Z9" s="156"/>
      <c r="AA9" s="12">
        <f t="shared" ref="AA9:AA14" si="11">AVERAGE(H9,O9)</f>
        <v>13.45</v>
      </c>
      <c r="AB9" s="2">
        <f>AA9*$B$120</f>
        <v>71929.211902773488</v>
      </c>
      <c r="AC9" s="165">
        <f>VLOOKUP(B9,'May UMGF Renewals'!$A$1:$E$67,3,FALSE)</f>
        <v>36000</v>
      </c>
      <c r="AD9" s="2">
        <f t="shared" ref="AD9:AD14" si="12">AB9-AC9</f>
        <v>35929.211902773488</v>
      </c>
      <c r="AE9" s="12">
        <v>2.3952807935182299</v>
      </c>
      <c r="AF9" s="141">
        <f t="shared" si="8"/>
        <v>2</v>
      </c>
      <c r="AG9" s="136"/>
      <c r="AH9" s="153">
        <f t="shared" si="9"/>
        <v>2.3952807935182325</v>
      </c>
      <c r="AI9" s="157">
        <f t="shared" si="10"/>
        <v>2</v>
      </c>
      <c r="AJ9" s="156"/>
    </row>
    <row r="10" spans="1:36" x14ac:dyDescent="0.25">
      <c r="B10" s="3" t="s">
        <v>13</v>
      </c>
      <c r="C10" s="120">
        <v>4</v>
      </c>
      <c r="D10" s="120">
        <v>2</v>
      </c>
      <c r="E10" s="121">
        <v>3.9</v>
      </c>
      <c r="F10" s="120">
        <v>5</v>
      </c>
      <c r="G10" s="120">
        <v>2</v>
      </c>
      <c r="H10" s="121">
        <v>4.9000000000000004</v>
      </c>
      <c r="I10" s="123">
        <v>8.8000000000000007</v>
      </c>
      <c r="J10" s="1">
        <f>((VLOOKUP($B10,'OIA Masters table'!$A$12:$Q$203,2,FALSE)+(VLOOKUP($B10,'OIA Masters table'!$A$12:$Q$203,4,FALSE))))</f>
        <v>2</v>
      </c>
      <c r="K10" s="81">
        <f>(VLOOKUP(Budget!$B10,'OIA Masters table'!A14:Q206,5,FALSE)+(VLOOKUP(Budget!$B10,'OIA Masters table'!A14:Q206,6,FALSE)))</f>
        <v>4</v>
      </c>
      <c r="L10" s="78">
        <f t="shared" si="0"/>
        <v>1.8</v>
      </c>
      <c r="M10" s="81">
        <f>(VLOOKUP($B10,'OIA PHD_table'!$A$12:$R$129,2,FALSE)+(VLOOKUP($B10,'OIA PHD_table'!$A$12:$R$129,4,FALSE)))</f>
        <v>5</v>
      </c>
      <c r="N10" s="81">
        <f>(VLOOKUP($B10,'OIA PHD_table'!$A$12:$R$129,5,FALSE)+(VLOOKUP($B10,'OIA PHD_table'!$A$12:$R$129,6,FALSE)))</f>
        <v>1</v>
      </c>
      <c r="O10" s="14">
        <f>M10-(N10*$T$1)</f>
        <v>4.95</v>
      </c>
      <c r="P10" s="10">
        <f t="shared" si="3"/>
        <v>6.75</v>
      </c>
      <c r="Q10" s="12">
        <f t="shared" si="4"/>
        <v>2.85</v>
      </c>
      <c r="R10" s="2">
        <f t="shared" si="1"/>
        <v>6314.6066300480616</v>
      </c>
      <c r="S10" s="2">
        <v>0</v>
      </c>
      <c r="T10" s="2">
        <f t="shared" si="5"/>
        <v>6314.6066300480616</v>
      </c>
      <c r="U10" s="12">
        <v>0.50516853040384502</v>
      </c>
      <c r="V10" s="135">
        <f t="shared" si="2"/>
        <v>0</v>
      </c>
      <c r="W10" s="136"/>
      <c r="X10" s="153">
        <f t="shared" si="6"/>
        <v>0.50516853040384491</v>
      </c>
      <c r="Y10" s="157">
        <f t="shared" si="7"/>
        <v>0</v>
      </c>
      <c r="Z10" s="156"/>
      <c r="AA10" s="12">
        <f t="shared" si="11"/>
        <v>4.9250000000000007</v>
      </c>
      <c r="AB10" s="2">
        <f>AA10*$B$120</f>
        <v>26338.391719045318</v>
      </c>
      <c r="AC10" s="165">
        <f>VLOOKUP(B10,'May UMGF Renewals'!$A$1:$E$67,3,FALSE)</f>
        <v>36000</v>
      </c>
      <c r="AD10" s="2">
        <f t="shared" si="12"/>
        <v>-9661.6082809546824</v>
      </c>
      <c r="AE10" s="12">
        <v>-0.64410721873031196</v>
      </c>
      <c r="AF10" s="141">
        <f t="shared" si="8"/>
        <v>0</v>
      </c>
      <c r="AG10" s="136"/>
      <c r="AH10" s="153">
        <f t="shared" si="9"/>
        <v>-0.64410721873031218</v>
      </c>
      <c r="AI10" s="157">
        <f t="shared" si="10"/>
        <v>0</v>
      </c>
      <c r="AJ10" s="156"/>
    </row>
    <row r="11" spans="1:36" x14ac:dyDescent="0.25">
      <c r="B11" s="56" t="s">
        <v>14</v>
      </c>
      <c r="C11" s="120">
        <v>4</v>
      </c>
      <c r="D11" s="120">
        <v>6</v>
      </c>
      <c r="E11" s="121">
        <v>3.7</v>
      </c>
      <c r="F11" s="120">
        <v>10</v>
      </c>
      <c r="G11" s="120">
        <v>4</v>
      </c>
      <c r="H11" s="121">
        <v>9.8000000000000007</v>
      </c>
      <c r="I11" s="123">
        <v>13.5</v>
      </c>
      <c r="J11" s="1">
        <f>((VLOOKUP($B11,'OIA Masters table'!$A$12:$Q$203,2,FALSE)+(VLOOKUP($B11,'OIA Masters table'!$A$12:$Q$203,4,FALSE))))</f>
        <v>8</v>
      </c>
      <c r="K11" s="1">
        <f>((VLOOKUP(C11,'OIA Masters table'!B92:R281,2,FALSE)+(VLOOKUP(C11,'OIA Masters table'!B92:R281,4,FALSE))))</f>
        <v>1</v>
      </c>
      <c r="L11" s="78">
        <f t="shared" si="0"/>
        <v>7.95</v>
      </c>
      <c r="M11" s="81">
        <f>(VLOOKUP($B11,'OIA PHD_table'!$A$12:$R$129,2,FALSE)+(VLOOKUP($B11,'OIA PHD_table'!$A$12:$R$129,4,FALSE)))</f>
        <v>5</v>
      </c>
      <c r="N11" s="81">
        <f>(VLOOKUP($B11,'OIA PHD_table'!$A$12:$R$129,5,FALSE)+(VLOOKUP($B11,'OIA PHD_table'!$A$12:$R$129,6,FALSE)))</f>
        <v>5</v>
      </c>
      <c r="O11" s="152">
        <f>((VLOOKUP(G11,'OIA Masters table'!F92:V281,2,FALSE)+(VLOOKUP(G11,'OIA Masters table'!F92:V281,4,FALSE))))</f>
        <v>12</v>
      </c>
      <c r="P11" s="10">
        <f t="shared" si="3"/>
        <v>19.95</v>
      </c>
      <c r="Q11" s="12">
        <f t="shared" si="4"/>
        <v>5.8250000000000002</v>
      </c>
      <c r="R11" s="2">
        <f t="shared" si="1"/>
        <v>12906.169691238581</v>
      </c>
      <c r="S11" s="2">
        <f>VLOOKUP(B11, 'May MGS Renewals'!$A$3:$D$47,2,FALSE)</f>
        <v>15000</v>
      </c>
      <c r="T11" s="2">
        <f t="shared" si="5"/>
        <v>-2093.8303087614186</v>
      </c>
      <c r="U11" s="12">
        <v>-0.16750642470091301</v>
      </c>
      <c r="V11" s="135">
        <f t="shared" si="2"/>
        <v>0</v>
      </c>
      <c r="W11" s="136"/>
      <c r="X11" s="153">
        <f t="shared" si="6"/>
        <v>-0.16750642470091348</v>
      </c>
      <c r="Y11" s="157">
        <f t="shared" si="7"/>
        <v>0</v>
      </c>
      <c r="Z11" s="156"/>
      <c r="AA11" s="12">
        <f t="shared" si="11"/>
        <v>10.9</v>
      </c>
      <c r="AC11" s="165"/>
      <c r="AD11" s="2"/>
      <c r="AE11" s="12">
        <v>0</v>
      </c>
      <c r="AF11" s="141">
        <f t="shared" si="8"/>
        <v>0</v>
      </c>
      <c r="AG11" s="136"/>
      <c r="AH11" s="153">
        <f t="shared" si="9"/>
        <v>0</v>
      </c>
      <c r="AI11" s="157">
        <f t="shared" si="10"/>
        <v>0</v>
      </c>
      <c r="AJ11" s="156"/>
    </row>
    <row r="12" spans="1:36" x14ac:dyDescent="0.25">
      <c r="B12" s="3" t="s">
        <v>89</v>
      </c>
      <c r="C12" s="120">
        <v>34</v>
      </c>
      <c r="D12" s="120">
        <v>5</v>
      </c>
      <c r="E12" s="121">
        <v>33.75</v>
      </c>
      <c r="F12" s="120">
        <v>16</v>
      </c>
      <c r="G12" s="120">
        <v>6</v>
      </c>
      <c r="H12" s="121">
        <v>15.7</v>
      </c>
      <c r="I12" s="123">
        <v>49.45</v>
      </c>
      <c r="J12" s="1">
        <f>((VLOOKUP($B12,'OIA Masters table'!$A$12:$Q$203,2,FALSE)+(VLOOKUP($B12,'OIA Masters table'!$A$12:$Q$203,4,FALSE))))</f>
        <v>32</v>
      </c>
      <c r="K12" s="81">
        <f>(VLOOKUP(Budget!$B12,'OIA Masters table'!A16:Q208,5,FALSE)+(VLOOKUP(Budget!$B12,'OIA Masters table'!A16:Q208,6,FALSE)))</f>
        <v>10</v>
      </c>
      <c r="L12" s="78">
        <f t="shared" si="0"/>
        <v>31.5</v>
      </c>
      <c r="M12" s="81">
        <f>(VLOOKUP($B12,'OIA PHD_table'!$A$12:$R$129,2,FALSE)+(VLOOKUP($B12,'OIA PHD_table'!$A$12:$R$129,4,FALSE)))</f>
        <v>16</v>
      </c>
      <c r="N12" s="81">
        <f>(VLOOKUP($B12,'OIA PHD_table'!$A$12:$R$129,5,FALSE)+(VLOOKUP($B12,'OIA PHD_table'!$A$12:$R$129,6,FALSE)))</f>
        <v>5</v>
      </c>
      <c r="O12" s="14">
        <f>M12-(N12*$T$1)</f>
        <v>15.75</v>
      </c>
      <c r="P12" s="10">
        <f t="shared" si="3"/>
        <v>47.25</v>
      </c>
      <c r="Q12" s="12">
        <f t="shared" si="4"/>
        <v>32.625</v>
      </c>
      <c r="R12" s="2">
        <f t="shared" si="1"/>
        <v>72285.628528181755</v>
      </c>
      <c r="S12" s="2">
        <f>VLOOKUP(B12, 'May MGS Renewals'!$A$3:$D$47,2,FALSE)</f>
        <v>30000</v>
      </c>
      <c r="T12" s="2">
        <f t="shared" si="5"/>
        <v>42285.628528181755</v>
      </c>
      <c r="U12" s="12">
        <v>3.3828502822545401</v>
      </c>
      <c r="V12" s="135">
        <f t="shared" si="2"/>
        <v>3</v>
      </c>
      <c r="W12" s="136"/>
      <c r="X12" s="153">
        <f t="shared" si="6"/>
        <v>3.3828502822545405</v>
      </c>
      <c r="Y12" s="157">
        <f t="shared" si="7"/>
        <v>3</v>
      </c>
      <c r="Z12" s="156"/>
      <c r="AA12" s="12">
        <f t="shared" si="11"/>
        <v>15.725</v>
      </c>
      <c r="AB12" s="2">
        <f>AA12*$B$120</f>
        <v>84095.677113093916</v>
      </c>
      <c r="AC12" s="165">
        <f>VLOOKUP(B12,'May UMGF Renewals'!$A$1:$E$67,3,FALSE)</f>
        <v>36000</v>
      </c>
      <c r="AD12" s="2">
        <f t="shared" si="12"/>
        <v>48095.677113093916</v>
      </c>
      <c r="AE12" s="12">
        <v>3.20637847420626</v>
      </c>
      <c r="AF12" s="141">
        <f t="shared" si="8"/>
        <v>3</v>
      </c>
      <c r="AG12" s="136"/>
      <c r="AH12" s="153">
        <f t="shared" si="9"/>
        <v>3.2063784742062609</v>
      </c>
      <c r="AI12" s="157">
        <f t="shared" si="10"/>
        <v>3</v>
      </c>
      <c r="AJ12" s="156"/>
    </row>
    <row r="13" spans="1:36" x14ac:dyDescent="0.25">
      <c r="B13" s="3" t="s">
        <v>15</v>
      </c>
      <c r="C13" s="120">
        <v>19</v>
      </c>
      <c r="D13" s="120">
        <v>7</v>
      </c>
      <c r="E13" s="121">
        <v>18.649999999999999</v>
      </c>
      <c r="F13" s="120">
        <v>15</v>
      </c>
      <c r="G13" s="120">
        <v>5</v>
      </c>
      <c r="H13" s="121">
        <v>14.75</v>
      </c>
      <c r="I13" s="123">
        <v>33.4</v>
      </c>
      <c r="J13" s="1">
        <f>((VLOOKUP($B13,'OIA Masters table'!$A$12:$Q$203,2,FALSE)+(VLOOKUP($B13,'OIA Masters table'!$A$12:$Q$203,4,FALSE))))</f>
        <v>16</v>
      </c>
      <c r="K13" s="81">
        <f>(VLOOKUP(Budget!$B13,'OIA Masters table'!A17:Q209,5,FALSE)+(VLOOKUP(Budget!$B13,'OIA Masters table'!A17:Q209,6,FALSE)))</f>
        <v>10</v>
      </c>
      <c r="L13" s="78">
        <f t="shared" si="0"/>
        <v>15.5</v>
      </c>
      <c r="M13" s="81">
        <f>(VLOOKUP($B13,'OIA PHD_table'!$A$12:$R$129,2,FALSE)+(VLOOKUP($B13,'OIA PHD_table'!$A$12:$R$129,4,FALSE)))</f>
        <v>15</v>
      </c>
      <c r="N13" s="81">
        <f>(VLOOKUP($B13,'OIA PHD_table'!$A$12:$R$129,5,FALSE)+(VLOOKUP($B13,'OIA PHD_table'!$A$12:$R$129,6,FALSE)))</f>
        <v>6</v>
      </c>
      <c r="O13" s="14">
        <f>M13-(N13*$T$1)</f>
        <v>14.7</v>
      </c>
      <c r="P13" s="10">
        <f t="shared" si="3"/>
        <v>30.2</v>
      </c>
      <c r="Q13" s="12">
        <f t="shared" si="4"/>
        <v>17.074999999999999</v>
      </c>
      <c r="R13" s="2">
        <f t="shared" si="1"/>
        <v>37832.248494059873</v>
      </c>
      <c r="S13" s="2">
        <f>VLOOKUP(B13, 'May MGS Renewals'!$A$3:$D$47,2,FALSE)</f>
        <v>15000</v>
      </c>
      <c r="T13" s="2">
        <f t="shared" si="5"/>
        <v>22832.248494059873</v>
      </c>
      <c r="U13" s="12">
        <v>1.8265798795247901</v>
      </c>
      <c r="V13" s="135">
        <f t="shared" si="2"/>
        <v>1</v>
      </c>
      <c r="W13" s="136"/>
      <c r="X13" s="153">
        <f t="shared" si="6"/>
        <v>1.8265798795247898</v>
      </c>
      <c r="Y13" s="157">
        <f t="shared" si="7"/>
        <v>1</v>
      </c>
      <c r="Z13" s="156"/>
      <c r="AA13" s="12">
        <f t="shared" si="11"/>
        <v>14.725</v>
      </c>
      <c r="AB13" s="2">
        <f>AA13*$B$120</f>
        <v>78747.780317348675</v>
      </c>
      <c r="AC13" s="165">
        <f>VLOOKUP(B13,'May UMGF Renewals'!$A$1:$E$67,3,FALSE)</f>
        <v>36000</v>
      </c>
      <c r="AD13" s="2">
        <f t="shared" si="12"/>
        <v>42747.780317348675</v>
      </c>
      <c r="AE13" s="12">
        <v>2.8498520211565799</v>
      </c>
      <c r="AF13" s="141">
        <f t="shared" si="8"/>
        <v>2</v>
      </c>
      <c r="AG13" s="136"/>
      <c r="AH13" s="153">
        <f t="shared" si="9"/>
        <v>2.8498520211565785</v>
      </c>
      <c r="AI13" s="157">
        <f t="shared" si="10"/>
        <v>2</v>
      </c>
      <c r="AJ13" s="156"/>
    </row>
    <row r="14" spans="1:36" x14ac:dyDescent="0.25">
      <c r="B14" s="3" t="s">
        <v>16</v>
      </c>
      <c r="C14" s="120">
        <v>12</v>
      </c>
      <c r="D14" s="120">
        <v>9</v>
      </c>
      <c r="E14" s="121">
        <v>11.55</v>
      </c>
      <c r="F14" s="120">
        <v>10</v>
      </c>
      <c r="G14" s="120">
        <v>2</v>
      </c>
      <c r="H14" s="121">
        <v>9.9</v>
      </c>
      <c r="I14" s="123">
        <v>21.450000000000003</v>
      </c>
      <c r="J14" s="1">
        <f>((VLOOKUP($B14,'OIA Masters table'!$A$12:$Q$203,2,FALSE)+(VLOOKUP($B14,'OIA Masters table'!$A$12:$Q$203,4,FALSE))))</f>
        <v>13</v>
      </c>
      <c r="K14" s="81">
        <f>(VLOOKUP(Budget!$B14,'OIA Masters table'!A18:Q210,5,FALSE)+(VLOOKUP(Budget!$B14,'OIA Masters table'!A18:Q210,6,FALSE)))</f>
        <v>4</v>
      </c>
      <c r="L14" s="78">
        <f t="shared" si="0"/>
        <v>12.8</v>
      </c>
      <c r="M14" s="81">
        <f>(VLOOKUP($B14,'OIA PHD_table'!$A$12:$R$129,2,FALSE)+(VLOOKUP($B14,'OIA PHD_table'!$A$12:$R$129,4,FALSE)))</f>
        <v>9</v>
      </c>
      <c r="N14" s="81">
        <f>(VLOOKUP($B14,'OIA PHD_table'!$A$12:$R$129,5,FALSE)+(VLOOKUP($B14,'OIA PHD_table'!$A$12:$R$129,6,FALSE)))</f>
        <v>2</v>
      </c>
      <c r="O14" s="14">
        <f>M14-(N14*$T$1)</f>
        <v>8.9</v>
      </c>
      <c r="P14" s="10">
        <f t="shared" si="3"/>
        <v>21.700000000000003</v>
      </c>
      <c r="Q14" s="12">
        <f t="shared" si="4"/>
        <v>12.175000000000001</v>
      </c>
      <c r="R14" s="2">
        <f t="shared" si="1"/>
        <v>26975.556393275492</v>
      </c>
      <c r="S14" s="2">
        <f>VLOOKUP(B14, 'May MGS Renewals'!$A$3:$D$47,2,FALSE)</f>
        <v>15000</v>
      </c>
      <c r="T14" s="2">
        <f t="shared" si="5"/>
        <v>11975.556393275492</v>
      </c>
      <c r="U14" s="12">
        <v>0.95804451146203895</v>
      </c>
      <c r="V14" s="135">
        <f t="shared" si="2"/>
        <v>0</v>
      </c>
      <c r="W14" s="136"/>
      <c r="X14" s="153">
        <f t="shared" si="6"/>
        <v>0.95804451146203939</v>
      </c>
      <c r="Y14" s="157">
        <f t="shared" si="7"/>
        <v>0</v>
      </c>
      <c r="Z14" s="156"/>
      <c r="AA14" s="12">
        <f t="shared" si="11"/>
        <v>9.4</v>
      </c>
      <c r="AB14" s="2">
        <f>AA14*$B$120</f>
        <v>50270.229880005274</v>
      </c>
      <c r="AC14" s="165">
        <f>VLOOKUP(B14,'May UMGF Renewals'!$A$1:$E$67,3,FALSE)</f>
        <v>60000</v>
      </c>
      <c r="AD14" s="2">
        <f t="shared" si="12"/>
        <v>-9729.770119994726</v>
      </c>
      <c r="AE14" s="12">
        <v>-0.64865134133298197</v>
      </c>
      <c r="AF14" s="141">
        <f t="shared" si="8"/>
        <v>0</v>
      </c>
      <c r="AG14" s="136"/>
      <c r="AH14" s="153">
        <f t="shared" si="9"/>
        <v>-0.64865134133298175</v>
      </c>
      <c r="AI14" s="157">
        <f t="shared" si="10"/>
        <v>0</v>
      </c>
      <c r="AJ14" s="156"/>
    </row>
    <row r="15" spans="1:36" ht="14.4" x14ac:dyDescent="0.3">
      <c r="B15" s="3" t="s">
        <v>64</v>
      </c>
      <c r="C15" s="120">
        <v>5</v>
      </c>
      <c r="D15" s="120">
        <v>1</v>
      </c>
      <c r="E15" s="121">
        <v>4.95</v>
      </c>
      <c r="F15" s="118"/>
      <c r="G15" s="118"/>
      <c r="H15" s="122"/>
      <c r="I15" s="123">
        <v>4.95</v>
      </c>
      <c r="J15" s="1">
        <f>((VLOOKUP($B15,'OIA Masters table'!$A$12:$Q$203,2,FALSE)+(VLOOKUP($B15,'OIA Masters table'!$A$12:$Q$203,4,FALSE))))</f>
        <v>3</v>
      </c>
      <c r="K15" s="81">
        <f>(VLOOKUP(Budget!$B15,'OIA Masters table'!A19:Q211,5,FALSE)+(VLOOKUP(Budget!$B15,'OIA Masters table'!A19:Q211,6,FALSE)))</f>
        <v>3</v>
      </c>
      <c r="L15" s="78">
        <f t="shared" si="0"/>
        <v>2.85</v>
      </c>
      <c r="P15" s="10">
        <f t="shared" si="3"/>
        <v>2.85</v>
      </c>
      <c r="Q15" s="12">
        <f t="shared" si="4"/>
        <v>3.9000000000000004</v>
      </c>
      <c r="R15" s="2">
        <f t="shared" si="1"/>
        <v>8641.0406516447165</v>
      </c>
      <c r="S15" s="2">
        <v>0</v>
      </c>
      <c r="T15" s="2">
        <f t="shared" si="5"/>
        <v>8641.0406516447165</v>
      </c>
      <c r="U15" s="12">
        <v>0.69128325213157704</v>
      </c>
      <c r="V15" s="135">
        <f t="shared" si="2"/>
        <v>0</v>
      </c>
      <c r="W15" s="136"/>
      <c r="X15" s="153">
        <f t="shared" si="6"/>
        <v>0.69128325213157726</v>
      </c>
      <c r="Y15" s="157">
        <f t="shared" si="7"/>
        <v>0</v>
      </c>
      <c r="Z15" s="156"/>
      <c r="AA15" s="12"/>
      <c r="AC15" s="2"/>
      <c r="AD15" s="2"/>
      <c r="AE15" s="12">
        <v>0</v>
      </c>
      <c r="AF15" s="141">
        <f t="shared" si="8"/>
        <v>0</v>
      </c>
      <c r="AG15" s="136"/>
      <c r="AH15" s="153">
        <f t="shared" si="9"/>
        <v>0</v>
      </c>
      <c r="AI15" s="157">
        <f t="shared" si="10"/>
        <v>0</v>
      </c>
      <c r="AJ15" s="156"/>
    </row>
    <row r="16" spans="1:36" s="144" customFormat="1" x14ac:dyDescent="0.25">
      <c r="B16" s="145" t="s">
        <v>17</v>
      </c>
      <c r="C16" s="146">
        <f t="shared" ref="C16:P16" si="13">SUM(C7:C15)</f>
        <v>122</v>
      </c>
      <c r="D16" s="146">
        <f t="shared" si="13"/>
        <v>48</v>
      </c>
      <c r="E16" s="146">
        <f t="shared" si="13"/>
        <v>119.6</v>
      </c>
      <c r="F16" s="146">
        <f t="shared" si="13"/>
        <v>84</v>
      </c>
      <c r="G16" s="146">
        <f t="shared" si="13"/>
        <v>34</v>
      </c>
      <c r="H16" s="146">
        <f t="shared" si="13"/>
        <v>82.300000000000011</v>
      </c>
      <c r="I16" s="147">
        <f t="shared" si="13"/>
        <v>201.89999999999998</v>
      </c>
      <c r="J16" s="146">
        <f t="shared" si="13"/>
        <v>110</v>
      </c>
      <c r="K16" s="146">
        <f t="shared" si="13"/>
        <v>48</v>
      </c>
      <c r="L16" s="146">
        <f t="shared" si="13"/>
        <v>107.6</v>
      </c>
      <c r="M16" s="146">
        <f t="shared" si="13"/>
        <v>75</v>
      </c>
      <c r="N16" s="146">
        <f t="shared" si="13"/>
        <v>37</v>
      </c>
      <c r="O16" s="148">
        <f t="shared" si="13"/>
        <v>80.400000000000006</v>
      </c>
      <c r="P16" s="147">
        <f t="shared" si="13"/>
        <v>187.99999999999997</v>
      </c>
      <c r="Q16" s="148">
        <f t="shared" si="4"/>
        <v>113.6</v>
      </c>
      <c r="R16" s="149">
        <f>SUM(R7:R15)</f>
        <v>251698.0046222666</v>
      </c>
      <c r="S16" s="149">
        <f>SUM(S7:S15)</f>
        <v>145000</v>
      </c>
      <c r="T16" s="149">
        <f>SUM(T7:T15)</f>
        <v>106698.00462226657</v>
      </c>
      <c r="U16" s="148">
        <v>8.5358403697813294</v>
      </c>
      <c r="V16" s="148">
        <f>SUM(V7:V15)</f>
        <v>5</v>
      </c>
      <c r="W16" s="148">
        <f>ROUNDUP(U16,0)</f>
        <v>9</v>
      </c>
      <c r="X16" s="148">
        <f>SUM(X7:X15)</f>
        <v>8.5358403697813259</v>
      </c>
      <c r="Y16" s="148">
        <f>SUM(Y7:Y15)</f>
        <v>5</v>
      </c>
      <c r="Z16" s="148">
        <f>ROUNDUP(X16,0)</f>
        <v>9</v>
      </c>
      <c r="AA16" s="148">
        <f>SUM(AA7:AA15)</f>
        <v>81.350000000000009</v>
      </c>
      <c r="AB16" s="149">
        <f>SUM(AB7:AB15)</f>
        <v>376759.32926025224</v>
      </c>
      <c r="AC16" s="149">
        <f>SUM(AC7:AC15)</f>
        <v>306000</v>
      </c>
      <c r="AD16" s="149">
        <f>SUM(AD8:AD15)</f>
        <v>70759.329260252242</v>
      </c>
      <c r="AE16" s="148">
        <f>SUM(AE7:AE15)</f>
        <v>4.717288617350146</v>
      </c>
      <c r="AF16" s="150">
        <f>SUM(AF7:AF15)</f>
        <v>5</v>
      </c>
      <c r="AG16" s="148">
        <f>ROUNDUP(AE16,0)</f>
        <v>5</v>
      </c>
      <c r="AH16" s="148">
        <f>SUM(AH7:AH15)</f>
        <v>4.7172886173501505</v>
      </c>
      <c r="AI16" s="148">
        <f>SUM(AI7:AI15)</f>
        <v>5</v>
      </c>
      <c r="AJ16" s="148">
        <f>ROUNDUP(AH16,0)</f>
        <v>5</v>
      </c>
    </row>
    <row r="17" spans="1:36" x14ac:dyDescent="0.25">
      <c r="R17" s="2"/>
      <c r="W17" s="136"/>
      <c r="Y17" s="156"/>
      <c r="Z17" s="156"/>
      <c r="AA17" s="12"/>
      <c r="AC17" s="2"/>
      <c r="AD17" s="2"/>
      <c r="AE17" s="12"/>
      <c r="AG17" s="136"/>
      <c r="AH17" s="153"/>
      <c r="AI17" s="156"/>
      <c r="AJ17" s="156"/>
    </row>
    <row r="18" spans="1:36" ht="14.4" x14ac:dyDescent="0.3">
      <c r="A18" s="139" t="s">
        <v>18</v>
      </c>
      <c r="B18" s="3" t="s">
        <v>18</v>
      </c>
      <c r="C18" s="120">
        <v>45</v>
      </c>
      <c r="D18" s="120">
        <v>1</v>
      </c>
      <c r="E18" s="121">
        <v>44.95</v>
      </c>
      <c r="F18" s="118"/>
      <c r="G18" s="118"/>
      <c r="H18" s="122"/>
      <c r="I18" s="123">
        <v>44.95</v>
      </c>
      <c r="J18" s="1">
        <f>((VLOOKUP($B18,'OIA Masters table'!A22:Q213,2,FALSE)+(VLOOKUP($B18,'OIA Masters table'!A22:Q213,4,FALSE))))</f>
        <v>51</v>
      </c>
      <c r="K18" s="81">
        <f>(VLOOKUP(Budget!$B18,'OIA Masters table'!A22:Q214,5,FALSE)+(VLOOKUP(Budget!$B18,'OIA Masters table'!A22:Q214,6,FALSE)))</f>
        <v>5</v>
      </c>
      <c r="L18" s="78">
        <f>J18-(K18*$T$1)</f>
        <v>50.75</v>
      </c>
      <c r="P18" s="10">
        <f>L18+O18</f>
        <v>50.75</v>
      </c>
      <c r="Q18" s="12">
        <f t="shared" si="4"/>
        <v>47.85</v>
      </c>
      <c r="R18" s="2">
        <f>Q18*$B$129</f>
        <v>106018.92184133324</v>
      </c>
      <c r="S18" s="2">
        <f>VLOOKUP(B18, 'May MGS Renewals'!$A$3:$D$47,2,FALSE)</f>
        <v>30000</v>
      </c>
      <c r="T18" s="2">
        <f t="shared" ref="T18:T21" si="14">R18-S18</f>
        <v>76018.921841333242</v>
      </c>
      <c r="U18" s="12">
        <v>5.2815137473066596</v>
      </c>
      <c r="V18" s="135">
        <f>ROUNDDOWN(U18,0)</f>
        <v>5</v>
      </c>
      <c r="W18" s="136"/>
      <c r="X18" s="153">
        <f>T18/12500</f>
        <v>6.0815137473066594</v>
      </c>
      <c r="Y18" s="157">
        <f>ROUNDDOWN(X18,0)</f>
        <v>6</v>
      </c>
      <c r="Z18" s="156"/>
      <c r="AA18" s="12"/>
      <c r="AC18" s="2"/>
      <c r="AD18" s="2"/>
      <c r="AE18" s="12"/>
      <c r="AG18" s="136"/>
      <c r="AH18" s="153"/>
      <c r="AI18" s="156"/>
      <c r="AJ18" s="156"/>
    </row>
    <row r="19" spans="1:36" ht="14.4" x14ac:dyDescent="0.3">
      <c r="B19" s="3" t="s">
        <v>19</v>
      </c>
      <c r="C19" s="120">
        <v>25</v>
      </c>
      <c r="D19" s="120">
        <v>25</v>
      </c>
      <c r="E19" s="121">
        <v>23.75</v>
      </c>
      <c r="F19" s="118"/>
      <c r="G19" s="118"/>
      <c r="H19" s="122"/>
      <c r="I19" s="123">
        <v>23.75</v>
      </c>
      <c r="J19" s="1">
        <f>((VLOOKUP($B19,'OIA Masters table'!A23:Q214,2,FALSE)+(VLOOKUP($B19,'OIA Masters table'!A23:Q214,4,FALSE))))</f>
        <v>22</v>
      </c>
      <c r="K19" s="81">
        <f>(VLOOKUP(Budget!$B19,'OIA Masters table'!A23:Q215,5,FALSE)+(VLOOKUP(Budget!$B19,'OIA Masters table'!A23:Q215,6,FALSE)))</f>
        <v>24</v>
      </c>
      <c r="L19" s="78">
        <f>J19-(K19*$T$1)</f>
        <v>20.8</v>
      </c>
      <c r="P19" s="10">
        <f t="shared" ref="P19:P21" si="15">L19+O19</f>
        <v>20.8</v>
      </c>
      <c r="Q19" s="12">
        <f t="shared" si="4"/>
        <v>22.274999999999999</v>
      </c>
      <c r="R19" s="2">
        <f>Q19*$B$129</f>
        <v>49353.63602958616</v>
      </c>
      <c r="S19" s="2">
        <f>VLOOKUP(B19, 'May MGS Renewals'!$A$3:$D$47,2,FALSE)</f>
        <v>35000</v>
      </c>
      <c r="T19" s="2">
        <f t="shared" si="14"/>
        <v>14353.63602958616</v>
      </c>
      <c r="U19" s="12">
        <v>0.34829088236689298</v>
      </c>
      <c r="V19" s="135">
        <f t="shared" ref="V19:V21" si="16">ROUNDDOWN(U19,0)</f>
        <v>0</v>
      </c>
      <c r="W19" s="136"/>
      <c r="X19" s="153">
        <f t="shared" ref="X19:X21" si="17">T19/12500</f>
        <v>1.1482908823668927</v>
      </c>
      <c r="Y19" s="157">
        <f t="shared" ref="Y19:Y21" si="18">ROUNDDOWN(X19,0)</f>
        <v>1</v>
      </c>
      <c r="Z19" s="156"/>
      <c r="AA19" s="12"/>
      <c r="AC19" s="2"/>
      <c r="AD19" s="2"/>
      <c r="AE19" s="12"/>
      <c r="AG19" s="136"/>
      <c r="AH19" s="153"/>
      <c r="AI19" s="156"/>
      <c r="AJ19" s="156"/>
    </row>
    <row r="20" spans="1:36" ht="14.4" x14ac:dyDescent="0.3">
      <c r="B20" s="3" t="s">
        <v>20</v>
      </c>
      <c r="C20" s="120">
        <v>19</v>
      </c>
      <c r="D20" s="120">
        <v>13</v>
      </c>
      <c r="E20" s="121">
        <v>18.350000000000001</v>
      </c>
      <c r="F20" s="118"/>
      <c r="G20" s="118"/>
      <c r="H20" s="122"/>
      <c r="I20" s="123">
        <v>18.350000000000001</v>
      </c>
      <c r="J20" s="1">
        <f>((VLOOKUP($B20,'OIA Masters table'!A24:Q215,2,FALSE)+(VLOOKUP($B20,'OIA Masters table'!A24:Q215,4,FALSE))))</f>
        <v>15</v>
      </c>
      <c r="K20" s="81">
        <f>(VLOOKUP(Budget!$B20,'OIA Masters table'!A24:Q216,5,FALSE)+(VLOOKUP(Budget!$B20,'OIA Masters table'!A24:Q216,6,FALSE)))</f>
        <v>19</v>
      </c>
      <c r="L20" s="78">
        <f>J20-(K20*$T$1)</f>
        <v>14.05</v>
      </c>
      <c r="P20" s="10">
        <f t="shared" si="15"/>
        <v>14.05</v>
      </c>
      <c r="Q20" s="12">
        <f t="shared" si="4"/>
        <v>16.200000000000003</v>
      </c>
      <c r="R20" s="2">
        <f>Q20*$B$129</f>
        <v>35893.553476062669</v>
      </c>
      <c r="S20" s="2">
        <f>VLOOKUP(B20, 'May MGS Renewals'!$A$3:$D$47,2,FALSE)</f>
        <v>15000</v>
      </c>
      <c r="T20" s="2">
        <f t="shared" si="14"/>
        <v>20893.553476062669</v>
      </c>
      <c r="U20" s="12">
        <v>1.6714842780850101</v>
      </c>
      <c r="V20" s="135">
        <f t="shared" si="16"/>
        <v>1</v>
      </c>
      <c r="W20" s="136"/>
      <c r="X20" s="153">
        <f t="shared" si="17"/>
        <v>1.6714842780850134</v>
      </c>
      <c r="Y20" s="157">
        <f t="shared" si="18"/>
        <v>1</v>
      </c>
      <c r="Z20" s="156"/>
      <c r="AA20" s="12"/>
      <c r="AC20" s="2"/>
      <c r="AD20" s="2"/>
      <c r="AE20" s="12"/>
      <c r="AG20" s="136"/>
      <c r="AH20" s="153"/>
      <c r="AI20" s="156"/>
      <c r="AJ20" s="156"/>
    </row>
    <row r="21" spans="1:36" ht="14.4" x14ac:dyDescent="0.3">
      <c r="B21" s="3" t="s">
        <v>21</v>
      </c>
      <c r="C21" s="120">
        <v>29</v>
      </c>
      <c r="D21" s="120">
        <v>31</v>
      </c>
      <c r="E21" s="121">
        <v>27.45</v>
      </c>
      <c r="F21" s="118"/>
      <c r="G21" s="118"/>
      <c r="H21" s="122"/>
      <c r="I21" s="123">
        <v>27.45</v>
      </c>
      <c r="J21" s="1">
        <f>((VLOOKUP($B21,'OIA Masters table'!A25:Q216,2,FALSE)+(VLOOKUP($B21,'OIA Masters table'!A25:Q216,4,FALSE))))</f>
        <v>28</v>
      </c>
      <c r="K21" s="81">
        <f>(VLOOKUP(Budget!$B21,'OIA Masters table'!A25:Q217,5,FALSE)+(VLOOKUP(Budget!$B21,'OIA Masters table'!A25:Q217,6,FALSE)))</f>
        <v>32</v>
      </c>
      <c r="L21" s="78">
        <f>J21-(K21*$T$1)</f>
        <v>26.4</v>
      </c>
      <c r="P21" s="10">
        <f t="shared" si="15"/>
        <v>26.4</v>
      </c>
      <c r="Q21" s="12">
        <f t="shared" si="4"/>
        <v>26.924999999999997</v>
      </c>
      <c r="R21" s="2">
        <f>Q21*$B$129</f>
        <v>59656.415268085628</v>
      </c>
      <c r="S21" s="2">
        <f>VLOOKUP(B21, 'May MGS Renewals'!$A$3:$D$47,2,FALSE)</f>
        <v>45000</v>
      </c>
      <c r="T21" s="2">
        <f t="shared" si="14"/>
        <v>14656.415268085628</v>
      </c>
      <c r="U21" s="12">
        <v>1.1725132214468501</v>
      </c>
      <c r="V21" s="135">
        <f t="shared" si="16"/>
        <v>1</v>
      </c>
      <c r="W21" s="136"/>
      <c r="X21" s="153">
        <f t="shared" si="17"/>
        <v>1.1725132214468503</v>
      </c>
      <c r="Y21" s="157">
        <f t="shared" si="18"/>
        <v>1</v>
      </c>
      <c r="Z21" s="156"/>
      <c r="AA21" s="12"/>
      <c r="AC21" s="2"/>
      <c r="AD21" s="2"/>
      <c r="AE21" s="12"/>
      <c r="AG21" s="136"/>
      <c r="AH21" s="153"/>
      <c r="AI21" s="156"/>
      <c r="AJ21" s="156"/>
    </row>
    <row r="22" spans="1:36" s="144" customFormat="1" x14ac:dyDescent="0.25">
      <c r="B22" s="145" t="s">
        <v>17</v>
      </c>
      <c r="C22" s="146">
        <f>SUM(C18:C21)</f>
        <v>118</v>
      </c>
      <c r="D22" s="146">
        <f t="shared" ref="D22:I22" si="19">SUM(D18:D21)</f>
        <v>70</v>
      </c>
      <c r="E22" s="146">
        <f t="shared" si="19"/>
        <v>114.50000000000001</v>
      </c>
      <c r="F22" s="146"/>
      <c r="G22" s="146"/>
      <c r="H22" s="146"/>
      <c r="I22" s="147">
        <f t="shared" si="19"/>
        <v>114.50000000000001</v>
      </c>
      <c r="J22" s="146">
        <f>SUM(J18:J21)</f>
        <v>116</v>
      </c>
      <c r="K22" s="146">
        <f>SUM(K18:K21)</f>
        <v>80</v>
      </c>
      <c r="L22" s="146">
        <f>SUM(L18:L21)</f>
        <v>112</v>
      </c>
      <c r="M22" s="146">
        <f t="shared" ref="M22:P22" si="20">SUM(M18:M21)</f>
        <v>0</v>
      </c>
      <c r="N22" s="146">
        <f t="shared" si="20"/>
        <v>0</v>
      </c>
      <c r="O22" s="148">
        <f t="shared" si="20"/>
        <v>0</v>
      </c>
      <c r="P22" s="147">
        <f t="shared" si="20"/>
        <v>112</v>
      </c>
      <c r="Q22" s="148">
        <f t="shared" si="4"/>
        <v>113.25</v>
      </c>
      <c r="R22" s="149">
        <f>SUM(R18:R21)</f>
        <v>250922.52661506771</v>
      </c>
      <c r="S22" s="149">
        <f>SUM(S18:S21)</f>
        <v>125000</v>
      </c>
      <c r="T22" s="149">
        <f>SUM(T18:T21)</f>
        <v>125922.52661506771</v>
      </c>
      <c r="U22" s="148">
        <f t="shared" ref="U22:V22" si="21">SUM(U18:U21)</f>
        <v>8.4738021292054135</v>
      </c>
      <c r="V22" s="148">
        <f t="shared" si="21"/>
        <v>7</v>
      </c>
      <c r="W22" s="148">
        <f>ROUNDUP(U22,0)</f>
        <v>9</v>
      </c>
      <c r="X22" s="148">
        <f>SUM(X18:X21)</f>
        <v>10.073802129205417</v>
      </c>
      <c r="Y22" s="148">
        <f>SUM(Y18:Y21)</f>
        <v>9</v>
      </c>
      <c r="Z22" s="148">
        <f>ROUNDUP(X22,0)</f>
        <v>11</v>
      </c>
      <c r="AA22" s="148"/>
      <c r="AB22" s="149"/>
      <c r="AC22" s="149"/>
      <c r="AD22" s="149"/>
      <c r="AE22" s="148"/>
      <c r="AF22" s="150"/>
      <c r="AG22" s="148"/>
      <c r="AH22" s="148"/>
      <c r="AI22" s="148"/>
      <c r="AJ22" s="148"/>
    </row>
    <row r="23" spans="1:36" x14ac:dyDescent="0.25">
      <c r="R23" s="2"/>
      <c r="W23" s="136"/>
      <c r="Y23" s="156"/>
      <c r="Z23" s="156"/>
      <c r="AA23" s="12"/>
      <c r="AC23" s="2"/>
      <c r="AD23" s="2"/>
      <c r="AE23" s="12"/>
      <c r="AG23" s="136"/>
      <c r="AH23" s="153"/>
      <c r="AI23" s="156"/>
      <c r="AJ23" s="156"/>
    </row>
    <row r="24" spans="1:36" x14ac:dyDescent="0.25">
      <c r="R24" s="2"/>
      <c r="W24" s="136"/>
      <c r="Y24" s="156"/>
      <c r="Z24" s="156"/>
      <c r="AA24" s="12"/>
      <c r="AC24" s="2"/>
      <c r="AD24" s="2"/>
      <c r="AE24" s="12"/>
      <c r="AG24" s="136"/>
      <c r="AH24" s="153"/>
      <c r="AI24" s="156"/>
      <c r="AJ24" s="156"/>
    </row>
    <row r="25" spans="1:36" ht="14.4" x14ac:dyDescent="0.3">
      <c r="A25" s="139" t="s">
        <v>22</v>
      </c>
      <c r="B25" s="3" t="s">
        <v>23</v>
      </c>
      <c r="C25" s="120">
        <v>8</v>
      </c>
      <c r="D25" s="120">
        <v>0</v>
      </c>
      <c r="E25" s="121">
        <v>8</v>
      </c>
      <c r="F25" s="118"/>
      <c r="G25" s="118"/>
      <c r="H25" s="122"/>
      <c r="I25" s="123">
        <v>8</v>
      </c>
      <c r="J25" s="1">
        <f>((VLOOKUP($B25,'OIA Masters table'!A29:Q220,2,FALSE)+(VLOOKUP($B25,'OIA Masters table'!A29:Q220,4,FALSE))))</f>
        <v>10</v>
      </c>
      <c r="K25" s="81">
        <f>(VLOOKUP(Budget!$B25,'OIA Masters table'!A29:Q221,5,FALSE)+(VLOOKUP(Budget!$B25,'OIA Masters table'!A29:Q221,6,FALSE)))</f>
        <v>0</v>
      </c>
      <c r="L25" s="78">
        <f>J25-(K25*$T$1)</f>
        <v>10</v>
      </c>
      <c r="P25" s="10">
        <f>L25+O25</f>
        <v>10</v>
      </c>
      <c r="Q25" s="12">
        <f t="shared" si="4"/>
        <v>9</v>
      </c>
      <c r="R25" s="2">
        <f>Q25*$B$129</f>
        <v>19940.863042257035</v>
      </c>
      <c r="S25" s="2">
        <v>0</v>
      </c>
      <c r="T25" s="2">
        <f t="shared" ref="T25" si="22">R25-S25</f>
        <v>19940.863042257035</v>
      </c>
      <c r="U25" s="12">
        <v>1.5952690433805601</v>
      </c>
      <c r="V25" s="135">
        <f t="shared" ref="V25" si="23">ROUNDDOWN(U25,0)</f>
        <v>1</v>
      </c>
      <c r="W25" s="136"/>
      <c r="X25" s="153">
        <f>T25/12500</f>
        <v>1.5952690433805627</v>
      </c>
      <c r="Y25" s="157">
        <f>ROUNDDOWN(X25,0)</f>
        <v>1</v>
      </c>
      <c r="Z25" s="156"/>
      <c r="AA25" s="12"/>
      <c r="AC25" s="2"/>
      <c r="AD25" s="2"/>
      <c r="AE25" s="12"/>
      <c r="AG25" s="136"/>
      <c r="AH25" s="153"/>
      <c r="AI25" s="156"/>
      <c r="AJ25" s="156"/>
    </row>
    <row r="26" spans="1:36" s="144" customFormat="1" x14ac:dyDescent="0.25">
      <c r="B26" s="145" t="s">
        <v>17</v>
      </c>
      <c r="C26" s="146">
        <f>SUM(C25)</f>
        <v>8</v>
      </c>
      <c r="D26" s="146">
        <f t="shared" ref="D26:I26" si="24">SUM(D25)</f>
        <v>0</v>
      </c>
      <c r="E26" s="146">
        <f t="shared" si="24"/>
        <v>8</v>
      </c>
      <c r="F26" s="146"/>
      <c r="G26" s="146"/>
      <c r="H26" s="146"/>
      <c r="I26" s="147">
        <f t="shared" si="24"/>
        <v>8</v>
      </c>
      <c r="J26" s="146">
        <f>SUM(J25)</f>
        <v>10</v>
      </c>
      <c r="K26" s="146">
        <f>SUM(K25)</f>
        <v>0</v>
      </c>
      <c r="L26" s="146">
        <f>SUM(L25)</f>
        <v>10</v>
      </c>
      <c r="M26" s="146">
        <f t="shared" ref="M26:P26" si="25">SUM(M25)</f>
        <v>0</v>
      </c>
      <c r="N26" s="146">
        <f t="shared" si="25"/>
        <v>0</v>
      </c>
      <c r="O26" s="146">
        <f t="shared" si="25"/>
        <v>0</v>
      </c>
      <c r="P26" s="147">
        <f t="shared" si="25"/>
        <v>10</v>
      </c>
      <c r="Q26" s="148">
        <f t="shared" si="4"/>
        <v>9</v>
      </c>
      <c r="R26" s="149">
        <f>SUM(R25)</f>
        <v>19940.863042257035</v>
      </c>
      <c r="S26" s="149">
        <f>SUM(S25)</f>
        <v>0</v>
      </c>
      <c r="T26" s="149">
        <f>SUM(T25)</f>
        <v>19940.863042257035</v>
      </c>
      <c r="U26" s="148">
        <f>SUM(U25)</f>
        <v>1.5952690433805601</v>
      </c>
      <c r="V26" s="148">
        <f t="shared" ref="V26" si="26">SUM(V25)</f>
        <v>1</v>
      </c>
      <c r="W26" s="148">
        <f>ROUNDUP(U26,0)</f>
        <v>2</v>
      </c>
      <c r="X26" s="148">
        <f>SUM(X25)</f>
        <v>1.5952690433805627</v>
      </c>
      <c r="Y26" s="148">
        <f t="shared" ref="Y26" si="27">ROUNDUP(W26,0)</f>
        <v>2</v>
      </c>
      <c r="Z26" s="148">
        <f>ROUNDUP(X26,0)</f>
        <v>2</v>
      </c>
      <c r="AA26" s="148"/>
      <c r="AB26" s="149"/>
      <c r="AC26" s="149"/>
      <c r="AD26" s="149"/>
      <c r="AE26" s="148"/>
      <c r="AF26" s="150"/>
      <c r="AG26" s="148"/>
      <c r="AH26" s="148"/>
      <c r="AI26" s="148"/>
      <c r="AJ26" s="148"/>
    </row>
    <row r="27" spans="1:36" x14ac:dyDescent="0.25">
      <c r="R27" s="2"/>
      <c r="W27" s="136"/>
      <c r="Y27" s="156"/>
      <c r="Z27" s="156"/>
      <c r="AA27" s="12"/>
      <c r="AC27" s="2"/>
      <c r="AD27" s="2"/>
      <c r="AE27" s="12"/>
      <c r="AG27" s="136"/>
      <c r="AH27" s="153"/>
      <c r="AI27" s="156"/>
      <c r="AJ27" s="156"/>
    </row>
    <row r="28" spans="1:36" x14ac:dyDescent="0.25">
      <c r="A28" s="139" t="s">
        <v>24</v>
      </c>
      <c r="B28" s="56" t="s">
        <v>25</v>
      </c>
      <c r="C28" s="120">
        <v>13</v>
      </c>
      <c r="D28" s="120">
        <v>16</v>
      </c>
      <c r="E28" s="121">
        <v>12.2</v>
      </c>
      <c r="F28" s="120">
        <v>10</v>
      </c>
      <c r="G28" s="120">
        <v>6</v>
      </c>
      <c r="H28" s="121">
        <v>9.6999999999999993</v>
      </c>
      <c r="I28" s="123">
        <v>21.9</v>
      </c>
      <c r="J28" s="1">
        <f>((VLOOKUP(B28,'OIA Masters table'!A32:Q223,2,FALSE)+(VLOOKUP(B28,'OIA Masters table'!A32:Q223,4,FALSE))))</f>
        <v>8</v>
      </c>
      <c r="K28" s="81">
        <f>(VLOOKUP(Budget!$B28,'OIA Masters table'!A32:Q224,5,FALSE)+(VLOOKUP(Budget!$B28,'OIA Masters table'!A32:Q224,6,FALSE)))</f>
        <v>15</v>
      </c>
      <c r="L28" s="78">
        <f t="shared" ref="L28:L43" si="28">J28-(K28*$T$1)</f>
        <v>7.25</v>
      </c>
      <c r="M28" s="81">
        <f>(VLOOKUP($B28,'OIA PHD_table'!$A$12:$R$129,2,FALSE)+(VLOOKUP($B28,'OIA PHD_table'!$A$12:$R$129,4,FALSE)))</f>
        <v>13</v>
      </c>
      <c r="N28" s="81">
        <f>(VLOOKUP($B28,'OIA PHD_table'!$A$12:$R$129,5,FALSE)+(VLOOKUP($B28,'OIA PHD_table'!$A$12:$R$129,6,FALSE)))</f>
        <v>4</v>
      </c>
      <c r="O28" s="14">
        <f>M28-(N28*$T$1)</f>
        <v>12.8</v>
      </c>
      <c r="P28" s="10">
        <f>L28+O28</f>
        <v>20.05</v>
      </c>
      <c r="Q28" s="12">
        <f t="shared" si="4"/>
        <v>9.7249999999999996</v>
      </c>
      <c r="R28" s="2">
        <f t="shared" ref="R28:R43" si="29">Q28*$B$129</f>
        <v>21547.210342883296</v>
      </c>
      <c r="S28" s="2">
        <v>0</v>
      </c>
      <c r="T28" s="2">
        <f t="shared" ref="T28:T43" si="30">R28-S28</f>
        <v>21547.210342883296</v>
      </c>
      <c r="U28" s="12">
        <v>1.72377682743066</v>
      </c>
      <c r="V28" s="135">
        <f t="shared" ref="V28:V43" si="31">ROUNDDOWN(U28,0)</f>
        <v>1</v>
      </c>
      <c r="W28" s="136"/>
      <c r="X28" s="153">
        <f>T28/12500</f>
        <v>1.7237768274306637</v>
      </c>
      <c r="Y28" s="157">
        <f>ROUNDDOWN(X28,0)</f>
        <v>1</v>
      </c>
      <c r="Z28" s="156"/>
      <c r="AA28" s="12">
        <f t="shared" ref="AA28:AA43" si="32">AVERAGE(H28,O28)</f>
        <v>11.25</v>
      </c>
      <c r="AB28" s="2">
        <f>AA28*$B$120</f>
        <v>60163.838952133963</v>
      </c>
      <c r="AC28" s="165">
        <f>VLOOKUP(B28,'May UMGF Renewals'!$A$1:$E$67,3,FALSE)</f>
        <v>114000</v>
      </c>
      <c r="AD28" s="2">
        <f t="shared" ref="AD28:AD43" si="33">AB28-AC28</f>
        <v>-53836.161047866037</v>
      </c>
      <c r="AE28" s="12">
        <v>-4.3890774031910702</v>
      </c>
      <c r="AF28" s="141">
        <f>ROUNDDOWN(AE28,0)</f>
        <v>-4</v>
      </c>
      <c r="AG28" s="136"/>
      <c r="AH28" s="153">
        <f>AD28/15000</f>
        <v>-3.589077403191069</v>
      </c>
      <c r="AI28" s="157">
        <f t="shared" ref="AI28:AI46" si="34">ROUNDDOWN(AH28,0)</f>
        <v>-3</v>
      </c>
      <c r="AJ28" s="156"/>
    </row>
    <row r="29" spans="1:36" ht="14.4" x14ac:dyDescent="0.3">
      <c r="B29" s="3" t="s">
        <v>26</v>
      </c>
      <c r="C29" s="120">
        <v>5</v>
      </c>
      <c r="D29" s="120">
        <v>0</v>
      </c>
      <c r="E29" s="121">
        <v>5</v>
      </c>
      <c r="F29" s="118"/>
      <c r="G29" s="120">
        <v>0</v>
      </c>
      <c r="H29" s="121">
        <v>0</v>
      </c>
      <c r="I29" s="123">
        <v>0</v>
      </c>
      <c r="J29" s="1">
        <f>((VLOOKUP(B29,'OIA Masters table'!A33:Q224,2,FALSE)+(VLOOKUP(B29,'OIA Masters table'!A33:Q224,4,FALSE))))</f>
        <v>6</v>
      </c>
      <c r="K29" s="81">
        <f>(VLOOKUP(Budget!$B29,'OIA Masters table'!A33:Q225,5,FALSE)+(VLOOKUP(Budget!$B29,'OIA Masters table'!A33:Q225,6,FALSE)))</f>
        <v>0</v>
      </c>
      <c r="L29" s="78">
        <f t="shared" si="28"/>
        <v>6</v>
      </c>
      <c r="P29" s="10">
        <f t="shared" ref="P29:P43" si="35">L29+O29</f>
        <v>6</v>
      </c>
      <c r="Q29" s="12">
        <f t="shared" si="4"/>
        <v>5.5</v>
      </c>
      <c r="R29" s="2">
        <f t="shared" si="29"/>
        <v>12186.082970268188</v>
      </c>
      <c r="S29" s="2">
        <v>0</v>
      </c>
      <c r="T29" s="2">
        <f t="shared" si="30"/>
        <v>12186.082970268188</v>
      </c>
      <c r="U29" s="12">
        <v>0.974886637621455</v>
      </c>
      <c r="V29" s="135">
        <f t="shared" si="31"/>
        <v>0</v>
      </c>
      <c r="W29" s="136"/>
      <c r="X29" s="153">
        <f t="shared" ref="X29:X43" si="36">T29/12500</f>
        <v>0.974886637621455</v>
      </c>
      <c r="Y29" s="157">
        <f t="shared" ref="Y29:Y43" si="37">ROUNDDOWN(X29,0)</f>
        <v>0</v>
      </c>
      <c r="Z29" s="156"/>
      <c r="AA29" s="12"/>
      <c r="AC29" s="165"/>
      <c r="AD29" s="2"/>
      <c r="AE29" s="12"/>
      <c r="AG29" s="136"/>
      <c r="AH29" s="153">
        <f t="shared" ref="AH29:AH43" si="38">AD29/15000</f>
        <v>0</v>
      </c>
      <c r="AI29" s="157">
        <f t="shared" si="34"/>
        <v>0</v>
      </c>
      <c r="AJ29" s="156"/>
    </row>
    <row r="30" spans="1:36" x14ac:dyDescent="0.25">
      <c r="B30" s="3" t="s">
        <v>27</v>
      </c>
      <c r="C30" s="120">
        <v>12</v>
      </c>
      <c r="D30" s="120">
        <v>0</v>
      </c>
      <c r="E30" s="121">
        <v>12</v>
      </c>
      <c r="F30" s="120">
        <v>11</v>
      </c>
      <c r="G30" s="120">
        <v>8</v>
      </c>
      <c r="H30" s="121">
        <v>10.6</v>
      </c>
      <c r="I30" s="123">
        <v>22.6</v>
      </c>
      <c r="J30" s="1">
        <f>((VLOOKUP(B30,'OIA Masters table'!A34:Q225,2,FALSE)+(VLOOKUP(B30,'OIA Masters table'!A34:Q225,4,FALSE))))</f>
        <v>15</v>
      </c>
      <c r="K30" s="81">
        <f>(VLOOKUP(Budget!$B30,'OIA Masters table'!A34:Q226,5,FALSE)+(VLOOKUP(Budget!$B30,'OIA Masters table'!A34:Q226,6,FALSE)))</f>
        <v>0</v>
      </c>
      <c r="L30" s="78">
        <f t="shared" si="28"/>
        <v>15</v>
      </c>
      <c r="M30" s="81">
        <f>(VLOOKUP($B30,'OIA PHD_table'!$A$12:$R$129,2,FALSE)+(VLOOKUP($B30,'OIA PHD_table'!$A$12:$R$129,4,FALSE)))</f>
        <v>7</v>
      </c>
      <c r="N30" s="81">
        <f>(VLOOKUP($B30,'OIA PHD_table'!$A$12:$R$129,5,FALSE)+(VLOOKUP($B30,'OIA PHD_table'!$A$12:$R$129,6,FALSE)))</f>
        <v>7</v>
      </c>
      <c r="O30" s="14">
        <f>M30-(N30*$T$1)</f>
        <v>6.65</v>
      </c>
      <c r="P30" s="10">
        <f t="shared" si="35"/>
        <v>21.65</v>
      </c>
      <c r="Q30" s="12">
        <f t="shared" si="4"/>
        <v>13.5</v>
      </c>
      <c r="R30" s="2">
        <f t="shared" si="29"/>
        <v>29911.294563385552</v>
      </c>
      <c r="S30" s="2">
        <f>VLOOKUP(B30, 'May MGS Renewals'!$A$3:$D$47,2,FALSE)</f>
        <v>30000</v>
      </c>
      <c r="T30" s="2">
        <f t="shared" si="30"/>
        <v>-88.705436614447535</v>
      </c>
      <c r="U30" s="12">
        <v>-7.0964349291557996E-3</v>
      </c>
      <c r="V30" s="135">
        <f t="shared" si="31"/>
        <v>0</v>
      </c>
      <c r="W30" s="136"/>
      <c r="X30" s="153">
        <f t="shared" si="36"/>
        <v>-7.0964349291558031E-3</v>
      </c>
      <c r="Y30" s="157">
        <f t="shared" si="37"/>
        <v>0</v>
      </c>
      <c r="Z30" s="156"/>
      <c r="AA30" s="12">
        <f t="shared" si="32"/>
        <v>8.625</v>
      </c>
      <c r="AB30" s="2">
        <f>AA30*$B$120</f>
        <v>46125.609863302707</v>
      </c>
      <c r="AC30" s="165">
        <f>VLOOKUP(B30,'May UMGF Renewals'!$A$1:$E$67,3,FALSE)</f>
        <v>36000</v>
      </c>
      <c r="AD30" s="2">
        <f t="shared" si="33"/>
        <v>10125.609863302707</v>
      </c>
      <c r="AE30" s="12">
        <v>0.67504065755351395</v>
      </c>
      <c r="AF30" s="141">
        <f t="shared" ref="AF30:AF43" si="39">ROUNDDOWN(AE30,0)</f>
        <v>0</v>
      </c>
      <c r="AG30" s="136"/>
      <c r="AH30" s="153">
        <f t="shared" si="38"/>
        <v>0.67504065755351383</v>
      </c>
      <c r="AI30" s="157">
        <f t="shared" si="34"/>
        <v>0</v>
      </c>
      <c r="AJ30" s="156"/>
    </row>
    <row r="31" spans="1:36" x14ac:dyDescent="0.25">
      <c r="B31" s="3" t="s">
        <v>28</v>
      </c>
      <c r="C31" s="120">
        <v>12</v>
      </c>
      <c r="D31" s="120">
        <v>2</v>
      </c>
      <c r="E31" s="121">
        <v>11.9</v>
      </c>
      <c r="F31" s="120">
        <v>8</v>
      </c>
      <c r="G31" s="120">
        <v>9</v>
      </c>
      <c r="H31" s="121">
        <v>7.55</v>
      </c>
      <c r="I31" s="123">
        <v>19.45</v>
      </c>
      <c r="J31" s="1">
        <f>((VLOOKUP(B31,'OIA Masters table'!A35:Q226,2,FALSE)+(VLOOKUP(B31,'OIA Masters table'!A35:Q226,4,FALSE))))</f>
        <v>5</v>
      </c>
      <c r="K31" s="81">
        <f>(VLOOKUP(Budget!$B31,'OIA Masters table'!A35:Q227,5,FALSE)+(VLOOKUP(Budget!$B31,'OIA Masters table'!A35:Q227,6,FALSE)))</f>
        <v>6</v>
      </c>
      <c r="L31" s="78">
        <f t="shared" si="28"/>
        <v>4.7</v>
      </c>
      <c r="M31" s="81">
        <f>(VLOOKUP($B31,'OIA PHD_table'!$A$12:$R$129,2,FALSE)+(VLOOKUP($B31,'OIA PHD_table'!$A$12:$R$129,4,FALSE)))</f>
        <v>9</v>
      </c>
      <c r="N31" s="81">
        <f>(VLOOKUP($B31,'OIA PHD_table'!$A$12:$R$129,5,FALSE)+(VLOOKUP($B31,'OIA PHD_table'!$A$12:$R$129,6,FALSE)))</f>
        <v>7</v>
      </c>
      <c r="O31" s="14">
        <f>M31-(N31*$T$1)</f>
        <v>8.65</v>
      </c>
      <c r="P31" s="10">
        <f t="shared" si="35"/>
        <v>13.350000000000001</v>
      </c>
      <c r="Q31" s="12">
        <f t="shared" si="4"/>
        <v>8.3000000000000007</v>
      </c>
      <c r="R31" s="2">
        <f t="shared" si="29"/>
        <v>18389.907027859266</v>
      </c>
      <c r="S31" s="2">
        <f>VLOOKUP(B31, 'May MGS Renewals'!$A$3:$D$47,2,FALSE)</f>
        <v>15000</v>
      </c>
      <c r="T31" s="2">
        <f t="shared" si="30"/>
        <v>3389.9070278592662</v>
      </c>
      <c r="U31" s="12">
        <v>0.271192562228741</v>
      </c>
      <c r="V31" s="135">
        <f t="shared" si="31"/>
        <v>0</v>
      </c>
      <c r="W31" s="136"/>
      <c r="X31" s="153">
        <f t="shared" si="36"/>
        <v>0.27119256222874127</v>
      </c>
      <c r="Y31" s="157">
        <f t="shared" si="37"/>
        <v>0</v>
      </c>
      <c r="Z31" s="156"/>
      <c r="AA31" s="12">
        <f t="shared" si="32"/>
        <v>8.1</v>
      </c>
      <c r="AB31" s="2">
        <f>AA31*$B$120</f>
        <v>43317.964045536457</v>
      </c>
      <c r="AC31" s="165">
        <f>VLOOKUP(B31,'May UMGF Renewals'!$A$1:$E$67,3,FALSE)</f>
        <v>18000</v>
      </c>
      <c r="AD31" s="2">
        <f t="shared" si="33"/>
        <v>25317.964045536457</v>
      </c>
      <c r="AE31" s="12">
        <v>8.7864269702430497E-2</v>
      </c>
      <c r="AF31" s="141">
        <f t="shared" si="39"/>
        <v>0</v>
      </c>
      <c r="AG31" s="136"/>
      <c r="AH31" s="153">
        <f t="shared" si="38"/>
        <v>1.6878642697024304</v>
      </c>
      <c r="AI31" s="157">
        <f t="shared" si="34"/>
        <v>1</v>
      </c>
      <c r="AJ31" s="156"/>
    </row>
    <row r="32" spans="1:36" x14ac:dyDescent="0.25">
      <c r="B32" s="3" t="s">
        <v>29</v>
      </c>
      <c r="C32" s="120">
        <v>2</v>
      </c>
      <c r="D32" s="120">
        <v>4</v>
      </c>
      <c r="E32" s="121">
        <v>1.8</v>
      </c>
      <c r="F32" s="120">
        <v>2</v>
      </c>
      <c r="G32" s="120">
        <v>2</v>
      </c>
      <c r="H32" s="121">
        <v>1.9</v>
      </c>
      <c r="I32" s="123">
        <v>3.7</v>
      </c>
      <c r="J32" s="1">
        <f>((VLOOKUP(B32,'OIA Masters table'!A36:Q227,2,FALSE)+(VLOOKUP(B32,'OIA Masters table'!A36:Q227,4,FALSE))))</f>
        <v>2</v>
      </c>
      <c r="K32" s="81">
        <f>(VLOOKUP(Budget!$B32,'OIA Masters table'!A36:Q228,5,FALSE)+(VLOOKUP(Budget!$B32,'OIA Masters table'!A36:Q228,6,FALSE)))</f>
        <v>1</v>
      </c>
      <c r="L32" s="78">
        <f t="shared" si="28"/>
        <v>1.95</v>
      </c>
      <c r="M32" s="81">
        <f>(VLOOKUP($B32,'OIA PHD_table'!$A$12:$R$129,2,FALSE)+(VLOOKUP($B32,'OIA PHD_table'!$A$12:$R$129,4,FALSE)))</f>
        <v>3</v>
      </c>
      <c r="N32" s="81">
        <f>(VLOOKUP($B32,'OIA PHD_table'!$A$12:$R$129,5,FALSE)+(VLOOKUP($B32,'OIA PHD_table'!$A$12:$R$129,6,FALSE)))</f>
        <v>1</v>
      </c>
      <c r="O32" s="14">
        <f>M32-(N32*$T$1)</f>
        <v>2.95</v>
      </c>
      <c r="P32" s="10">
        <f t="shared" si="35"/>
        <v>4.9000000000000004</v>
      </c>
      <c r="Q32" s="12">
        <f t="shared" si="4"/>
        <v>1.875</v>
      </c>
      <c r="R32" s="2">
        <f t="shared" si="29"/>
        <v>4154.346467136882</v>
      </c>
      <c r="S32" s="2">
        <v>0</v>
      </c>
      <c r="T32" s="2">
        <f t="shared" si="30"/>
        <v>4154.346467136882</v>
      </c>
      <c r="U32" s="12">
        <v>0.33234771737095098</v>
      </c>
      <c r="V32" s="135">
        <f t="shared" si="31"/>
        <v>0</v>
      </c>
      <c r="W32" s="136"/>
      <c r="X32" s="153">
        <f t="shared" si="36"/>
        <v>0.33234771737095054</v>
      </c>
      <c r="Y32" s="157">
        <f t="shared" si="37"/>
        <v>0</v>
      </c>
      <c r="Z32" s="156"/>
      <c r="AA32" s="12">
        <f t="shared" si="32"/>
        <v>2.4249999999999998</v>
      </c>
      <c r="AB32" s="2">
        <f>AA32*$B$120</f>
        <v>12968.649729682209</v>
      </c>
      <c r="AC32" s="2">
        <v>0</v>
      </c>
      <c r="AD32" s="2">
        <f t="shared" si="33"/>
        <v>12968.649729682209</v>
      </c>
      <c r="AE32" s="12">
        <v>0.86457664864548101</v>
      </c>
      <c r="AF32" s="141">
        <f t="shared" si="39"/>
        <v>0</v>
      </c>
      <c r="AG32" s="136"/>
      <c r="AH32" s="153">
        <f t="shared" si="38"/>
        <v>0.86457664864548056</v>
      </c>
      <c r="AI32" s="157">
        <f t="shared" si="34"/>
        <v>0</v>
      </c>
      <c r="AJ32" s="156"/>
    </row>
    <row r="33" spans="1:36" ht="14.4" x14ac:dyDescent="0.3">
      <c r="B33" s="3" t="s">
        <v>30</v>
      </c>
      <c r="C33" s="120">
        <v>3</v>
      </c>
      <c r="D33" s="120">
        <v>2</v>
      </c>
      <c r="E33" s="121">
        <v>2.9</v>
      </c>
      <c r="F33" s="118"/>
      <c r="G33" s="118"/>
      <c r="H33" s="121">
        <v>0</v>
      </c>
      <c r="I33" s="123">
        <v>2.9</v>
      </c>
      <c r="J33" s="1">
        <f>((VLOOKUP(B33,'OIA Masters table'!A37:Q228,2,FALSE)+(VLOOKUP(B33,'OIA Masters table'!A37:Q228,4,FALSE))))</f>
        <v>4</v>
      </c>
      <c r="K33" s="81">
        <f>(VLOOKUP(Budget!$B33,'OIA Masters table'!A37:Q229,5,FALSE)+(VLOOKUP(Budget!$B33,'OIA Masters table'!A37:Q229,6,FALSE)))</f>
        <v>1</v>
      </c>
      <c r="L33" s="78">
        <f t="shared" si="28"/>
        <v>3.95</v>
      </c>
      <c r="P33" s="10">
        <f t="shared" si="35"/>
        <v>3.95</v>
      </c>
      <c r="Q33" s="12">
        <f t="shared" si="4"/>
        <v>3.4249999999999998</v>
      </c>
      <c r="R33" s="2">
        <f t="shared" si="29"/>
        <v>7588.6062133033711</v>
      </c>
      <c r="S33" s="2">
        <v>0</v>
      </c>
      <c r="T33" s="2">
        <f t="shared" si="30"/>
        <v>7588.6062133033711</v>
      </c>
      <c r="U33" s="12">
        <v>0.60708849706427004</v>
      </c>
      <c r="V33" s="135">
        <f t="shared" si="31"/>
        <v>0</v>
      </c>
      <c r="W33" s="136"/>
      <c r="X33" s="153">
        <f t="shared" si="36"/>
        <v>0.60708849706426971</v>
      </c>
      <c r="Y33" s="157">
        <f t="shared" si="37"/>
        <v>0</v>
      </c>
      <c r="Z33" s="156"/>
      <c r="AA33" s="12">
        <f t="shared" si="32"/>
        <v>0</v>
      </c>
      <c r="AC33" s="2"/>
      <c r="AD33" s="2"/>
      <c r="AE33" s="12">
        <v>0</v>
      </c>
      <c r="AF33" s="141">
        <f t="shared" si="39"/>
        <v>0</v>
      </c>
      <c r="AG33" s="136"/>
      <c r="AH33" s="153">
        <f t="shared" si="38"/>
        <v>0</v>
      </c>
      <c r="AI33" s="157">
        <f t="shared" si="34"/>
        <v>0</v>
      </c>
      <c r="AJ33" s="156"/>
    </row>
    <row r="34" spans="1:36" x14ac:dyDescent="0.25">
      <c r="B34" s="3" t="s">
        <v>183</v>
      </c>
      <c r="C34" s="120">
        <v>16</v>
      </c>
      <c r="D34" s="120">
        <v>20</v>
      </c>
      <c r="E34" s="121">
        <v>15</v>
      </c>
      <c r="F34" s="120">
        <v>10</v>
      </c>
      <c r="G34" s="120">
        <v>3</v>
      </c>
      <c r="H34" s="121">
        <v>9.85</v>
      </c>
      <c r="I34" s="123">
        <v>24.85</v>
      </c>
      <c r="J34" s="1">
        <f>((VLOOKUP(B34,'OIA Masters table'!A38:Q229,2,FALSE)+(VLOOKUP(B34,'OIA Masters table'!A38:Q229,4,FALSE))))</f>
        <v>15</v>
      </c>
      <c r="K34" s="81">
        <f>(VLOOKUP(Budget!$B34,'OIA Masters table'!A38:Q230,5,FALSE)+(VLOOKUP(Budget!$B34,'OIA Masters table'!A38:Q230,6,FALSE)))</f>
        <v>18</v>
      </c>
      <c r="L34" s="78">
        <f t="shared" si="28"/>
        <v>14.1</v>
      </c>
      <c r="M34" s="81">
        <f>(VLOOKUP($B34,'OIA PHD_table'!$A$12:$R$129,2,FALSE)+(VLOOKUP($B34,'OIA PHD_table'!$A$12:$R$129,4,FALSE)))</f>
        <v>8</v>
      </c>
      <c r="N34" s="81">
        <f>(VLOOKUP($B34,'OIA PHD_table'!$A$12:$R$129,5,FALSE)+(VLOOKUP($B34,'OIA PHD_table'!$A$12:$R$129,6,FALSE)))</f>
        <v>2</v>
      </c>
      <c r="O34" s="14">
        <f>M34-(N34*$T$1)</f>
        <v>7.9</v>
      </c>
      <c r="P34" s="10">
        <f t="shared" si="35"/>
        <v>22</v>
      </c>
      <c r="Q34" s="12">
        <f t="shared" si="4"/>
        <v>14.55</v>
      </c>
      <c r="R34" s="2">
        <f t="shared" si="29"/>
        <v>32237.728584982207</v>
      </c>
      <c r="S34" s="2">
        <f>VLOOKUP(B34, 'May MGS Renewals'!$A$3:$D$47,2,FALSE)</f>
        <v>5000</v>
      </c>
      <c r="T34" s="2">
        <f t="shared" si="30"/>
        <v>27237.728584982207</v>
      </c>
      <c r="U34" s="12">
        <v>2.1790182867985801</v>
      </c>
      <c r="V34" s="135">
        <f t="shared" si="31"/>
        <v>2</v>
      </c>
      <c r="W34" s="136"/>
      <c r="X34" s="153">
        <f t="shared" si="36"/>
        <v>2.1790182867985766</v>
      </c>
      <c r="Y34" s="157">
        <f t="shared" si="37"/>
        <v>2</v>
      </c>
      <c r="Z34" s="156"/>
      <c r="AA34" s="12">
        <f t="shared" si="32"/>
        <v>8.875</v>
      </c>
      <c r="AB34" s="2">
        <f>AA34*$B$120</f>
        <v>47462.584062239017</v>
      </c>
      <c r="AC34" s="2">
        <f>VLOOKUP(B34,'May UMGF Renewals'!$A$1:$E$67,3,FALSE)</f>
        <v>0</v>
      </c>
      <c r="AD34" s="2">
        <f t="shared" si="33"/>
        <v>47462.584062239017</v>
      </c>
      <c r="AE34" s="12">
        <v>3.1641722708159299</v>
      </c>
      <c r="AF34" s="141">
        <f t="shared" si="39"/>
        <v>3</v>
      </c>
      <c r="AG34" s="136"/>
      <c r="AH34" s="153">
        <f t="shared" si="38"/>
        <v>3.1641722708159343</v>
      </c>
      <c r="AI34" s="157">
        <f t="shared" si="34"/>
        <v>3</v>
      </c>
      <c r="AJ34" s="156"/>
    </row>
    <row r="35" spans="1:36" ht="14.4" x14ac:dyDescent="0.3">
      <c r="B35" s="3" t="s">
        <v>31</v>
      </c>
      <c r="C35" s="120">
        <v>0</v>
      </c>
      <c r="D35" s="120">
        <v>0</v>
      </c>
      <c r="E35" s="121">
        <v>0</v>
      </c>
      <c r="F35" s="118"/>
      <c r="G35" s="118"/>
      <c r="H35" s="121">
        <v>0</v>
      </c>
      <c r="I35" s="123">
        <v>0</v>
      </c>
      <c r="J35" s="1">
        <f>((VLOOKUP(B35,'OIA Masters table'!A39:Q230,2,FALSE)+(VLOOKUP(B35,'OIA Masters table'!A39:Q230,4,FALSE))))</f>
        <v>1</v>
      </c>
      <c r="K35" s="81">
        <f>(VLOOKUP(Budget!$B35,'OIA Masters table'!A39:Q231,5,FALSE)+(VLOOKUP(Budget!$B35,'OIA Masters table'!A39:Q231,6,FALSE)))</f>
        <v>0</v>
      </c>
      <c r="L35" s="78">
        <f t="shared" si="28"/>
        <v>1</v>
      </c>
      <c r="P35" s="10">
        <f t="shared" si="35"/>
        <v>1</v>
      </c>
      <c r="Q35" s="12">
        <f t="shared" si="4"/>
        <v>0.5</v>
      </c>
      <c r="R35" s="2">
        <f t="shared" si="29"/>
        <v>1107.8257245698353</v>
      </c>
      <c r="S35" s="2">
        <v>0</v>
      </c>
      <c r="T35" s="2">
        <f t="shared" si="30"/>
        <v>1107.8257245698353</v>
      </c>
      <c r="U35" s="12">
        <v>8.8626057965586799E-2</v>
      </c>
      <c r="V35" s="135">
        <f t="shared" si="31"/>
        <v>0</v>
      </c>
      <c r="W35" s="136"/>
      <c r="X35" s="153">
        <f t="shared" si="36"/>
        <v>8.8626057965586827E-2</v>
      </c>
      <c r="Y35" s="157">
        <f t="shared" si="37"/>
        <v>0</v>
      </c>
      <c r="Z35" s="156"/>
      <c r="AA35" s="12">
        <f t="shared" si="32"/>
        <v>0</v>
      </c>
      <c r="AB35" s="2">
        <f>AA35*$B$120</f>
        <v>0</v>
      </c>
      <c r="AC35" s="165">
        <v>0</v>
      </c>
      <c r="AD35" s="2">
        <f t="shared" si="33"/>
        <v>0</v>
      </c>
      <c r="AE35" s="12">
        <v>0</v>
      </c>
      <c r="AF35" s="141">
        <f t="shared" si="39"/>
        <v>0</v>
      </c>
      <c r="AG35" s="136"/>
      <c r="AH35" s="153">
        <f t="shared" si="38"/>
        <v>0</v>
      </c>
      <c r="AI35" s="157">
        <f t="shared" si="34"/>
        <v>0</v>
      </c>
      <c r="AJ35" s="156"/>
    </row>
    <row r="36" spans="1:36" x14ac:dyDescent="0.25">
      <c r="B36" s="3" t="s">
        <v>32</v>
      </c>
      <c r="C36" s="120">
        <v>6</v>
      </c>
      <c r="D36" s="120">
        <v>5</v>
      </c>
      <c r="E36" s="121">
        <v>5.75</v>
      </c>
      <c r="F36" s="120">
        <v>12</v>
      </c>
      <c r="G36" s="120">
        <v>4</v>
      </c>
      <c r="H36" s="121">
        <v>11.8</v>
      </c>
      <c r="I36" s="123">
        <v>17.55</v>
      </c>
      <c r="J36" s="1">
        <f>((VLOOKUP(B36,'OIA Masters table'!A40:Q231,2,FALSE)+(VLOOKUP(B36,'OIA Masters table'!A40:Q231,4,FALSE))))</f>
        <v>6</v>
      </c>
      <c r="K36" s="81">
        <f>(VLOOKUP(Budget!$B36,'OIA Masters table'!A40:Q232,5,FALSE)+(VLOOKUP(Budget!$B36,'OIA Masters table'!A40:Q232,6,FALSE)))</f>
        <v>4</v>
      </c>
      <c r="L36" s="78">
        <f t="shared" si="28"/>
        <v>5.8</v>
      </c>
      <c r="M36" s="81">
        <f>(VLOOKUP($B36,'OIA PHD_table'!$A$12:$R$129,2,FALSE)+(VLOOKUP($B36,'OIA PHD_table'!$A$12:$R$129,4,FALSE)))</f>
        <v>11</v>
      </c>
      <c r="N36" s="81">
        <f>(VLOOKUP($B36,'OIA PHD_table'!$A$12:$R$129,5,FALSE)+(VLOOKUP($B36,'OIA PHD_table'!$A$12:$R$129,6,FALSE)))</f>
        <v>3</v>
      </c>
      <c r="O36" s="14">
        <f>M36-(N36*$T$1)</f>
        <v>10.85</v>
      </c>
      <c r="P36" s="10">
        <f t="shared" si="35"/>
        <v>16.649999999999999</v>
      </c>
      <c r="Q36" s="12">
        <f t="shared" si="4"/>
        <v>5.7750000000000004</v>
      </c>
      <c r="R36" s="2">
        <f t="shared" si="29"/>
        <v>12795.387118781598</v>
      </c>
      <c r="S36" s="2">
        <f>VLOOKUP(B36, 'May MGS Renewals'!$A$3:$D$47,2,FALSE)</f>
        <v>0</v>
      </c>
      <c r="T36" s="2">
        <f t="shared" si="30"/>
        <v>12795.387118781598</v>
      </c>
      <c r="U36" s="12">
        <v>1.0236309695025301</v>
      </c>
      <c r="V36" s="135">
        <f t="shared" si="31"/>
        <v>1</v>
      </c>
      <c r="W36" s="136"/>
      <c r="X36" s="153">
        <f t="shared" si="36"/>
        <v>1.0236309695025279</v>
      </c>
      <c r="Y36" s="157">
        <f t="shared" si="37"/>
        <v>1</v>
      </c>
      <c r="Z36" s="156"/>
      <c r="AA36" s="12">
        <f t="shared" si="32"/>
        <v>11.324999999999999</v>
      </c>
      <c r="AB36" s="2">
        <f>AA36*$B$120</f>
        <v>60564.931211814852</v>
      </c>
      <c r="AC36" s="165">
        <f>VLOOKUP(B36,'May UMGF Renewals'!$A$1:$E$67,3,FALSE)</f>
        <v>12000</v>
      </c>
      <c r="AD36" s="2">
        <f t="shared" si="33"/>
        <v>48564.931211814852</v>
      </c>
      <c r="AE36" s="12">
        <v>2.4376620807876601</v>
      </c>
      <c r="AF36" s="141">
        <f t="shared" si="39"/>
        <v>2</v>
      </c>
      <c r="AG36" s="136"/>
      <c r="AH36" s="153">
        <f t="shared" si="38"/>
        <v>3.2376620807876568</v>
      </c>
      <c r="AI36" s="157">
        <f t="shared" si="34"/>
        <v>3</v>
      </c>
      <c r="AJ36" s="156"/>
    </row>
    <row r="37" spans="1:36" x14ac:dyDescent="0.25">
      <c r="B37" s="3" t="s">
        <v>33</v>
      </c>
      <c r="C37" s="120">
        <v>7</v>
      </c>
      <c r="D37" s="120">
        <v>7</v>
      </c>
      <c r="E37" s="121">
        <v>6.65</v>
      </c>
      <c r="F37" s="120">
        <v>8</v>
      </c>
      <c r="G37" s="120">
        <v>4</v>
      </c>
      <c r="H37" s="121">
        <v>7.8</v>
      </c>
      <c r="I37" s="123">
        <v>14.45</v>
      </c>
      <c r="J37" s="1">
        <f>((VLOOKUP(B37,'OIA Masters table'!A41:Q232,2,FALSE)+(VLOOKUP(B37,'OIA Masters table'!A41:Q232,4,FALSE))))</f>
        <v>5</v>
      </c>
      <c r="K37" s="81">
        <f>(VLOOKUP(Budget!$B37,'OIA Masters table'!A41:Q233,5,FALSE)+(VLOOKUP(Budget!$B37,'OIA Masters table'!A41:Q233,6,FALSE)))</f>
        <v>6</v>
      </c>
      <c r="L37" s="78">
        <f t="shared" si="28"/>
        <v>4.7</v>
      </c>
      <c r="M37" s="81">
        <f>(VLOOKUP($B37,'OIA PHD_table'!$A$12:$R$129,2,FALSE)+(VLOOKUP($B37,'OIA PHD_table'!$A$12:$R$129,4,FALSE)))</f>
        <v>13</v>
      </c>
      <c r="N37" s="81">
        <f>(VLOOKUP($B37,'OIA PHD_table'!$A$12:$R$129,5,FALSE)+(VLOOKUP($B37,'OIA PHD_table'!$A$12:$R$129,6,FALSE)))</f>
        <v>5</v>
      </c>
      <c r="O37" s="14">
        <f>M37-(N37*$T$1)</f>
        <v>12.75</v>
      </c>
      <c r="P37" s="10">
        <f t="shared" si="35"/>
        <v>17.45</v>
      </c>
      <c r="Q37" s="12">
        <f t="shared" si="4"/>
        <v>5.6750000000000007</v>
      </c>
      <c r="R37" s="2">
        <f t="shared" si="29"/>
        <v>12573.821973867633</v>
      </c>
      <c r="S37" s="2">
        <v>0</v>
      </c>
      <c r="T37" s="2">
        <f t="shared" si="30"/>
        <v>12573.821973867633</v>
      </c>
      <c r="U37" s="12">
        <v>1.0059057579094099</v>
      </c>
      <c r="V37" s="135">
        <f t="shared" si="31"/>
        <v>1</v>
      </c>
      <c r="W37" s="136"/>
      <c r="X37" s="153">
        <f t="shared" si="36"/>
        <v>1.0059057579094106</v>
      </c>
      <c r="Y37" s="157">
        <f t="shared" si="37"/>
        <v>1</v>
      </c>
      <c r="Z37" s="156"/>
      <c r="AA37" s="12">
        <f t="shared" si="32"/>
        <v>10.275</v>
      </c>
      <c r="AB37" s="2">
        <f>AA37*$B$120</f>
        <v>54949.639576282359</v>
      </c>
      <c r="AC37" s="165">
        <f>VLOOKUP(B37,'May UMGF Renewals'!$A$1:$E$67,3,FALSE)</f>
        <v>18000</v>
      </c>
      <c r="AD37" s="2">
        <f t="shared" si="33"/>
        <v>36949.639576282359</v>
      </c>
      <c r="AE37" s="12">
        <v>2.46330930508549</v>
      </c>
      <c r="AF37" s="141">
        <f t="shared" si="39"/>
        <v>2</v>
      </c>
      <c r="AG37" s="136"/>
      <c r="AH37" s="153">
        <f t="shared" si="38"/>
        <v>2.4633093050854908</v>
      </c>
      <c r="AI37" s="157">
        <f t="shared" si="34"/>
        <v>2</v>
      </c>
      <c r="AJ37" s="156"/>
    </row>
    <row r="38" spans="1:36" ht="14.4" x14ac:dyDescent="0.3">
      <c r="B38" s="3" t="s">
        <v>34</v>
      </c>
      <c r="C38" s="120">
        <v>8</v>
      </c>
      <c r="D38" s="120">
        <v>2</v>
      </c>
      <c r="E38" s="121">
        <v>7.9</v>
      </c>
      <c r="F38" s="118"/>
      <c r="G38" s="118"/>
      <c r="H38" s="121">
        <v>0</v>
      </c>
      <c r="I38" s="123">
        <v>7.9</v>
      </c>
      <c r="J38" s="1">
        <f>((VLOOKUP(B38,'OIA Masters table'!A42:Q233,2,FALSE)+(VLOOKUP(B38,'OIA Masters table'!A42:Q233,4,FALSE))))</f>
        <v>7</v>
      </c>
      <c r="K38" s="81">
        <f>(VLOOKUP(Budget!$B38,'OIA Masters table'!A42:Q234,5,FALSE)+(VLOOKUP(Budget!$B38,'OIA Masters table'!A42:Q234,6,FALSE)))</f>
        <v>3</v>
      </c>
      <c r="L38" s="78">
        <f t="shared" si="28"/>
        <v>6.85</v>
      </c>
      <c r="P38" s="10">
        <f t="shared" si="35"/>
        <v>6.85</v>
      </c>
      <c r="Q38" s="12">
        <f t="shared" si="4"/>
        <v>7.375</v>
      </c>
      <c r="R38" s="2">
        <f t="shared" si="29"/>
        <v>16340.429437405071</v>
      </c>
      <c r="S38" s="2">
        <v>0</v>
      </c>
      <c r="T38" s="2">
        <f t="shared" si="30"/>
        <v>16340.429437405071</v>
      </c>
      <c r="U38" s="12">
        <v>1.3072343549924099</v>
      </c>
      <c r="V38" s="135">
        <f t="shared" si="31"/>
        <v>1</v>
      </c>
      <c r="W38" s="136"/>
      <c r="X38" s="153">
        <f t="shared" si="36"/>
        <v>1.3072343549924057</v>
      </c>
      <c r="Y38" s="157">
        <f t="shared" si="37"/>
        <v>1</v>
      </c>
      <c r="Z38" s="156"/>
      <c r="AA38" s="12">
        <f t="shared" si="32"/>
        <v>0</v>
      </c>
      <c r="AC38" s="165"/>
      <c r="AD38" s="2"/>
      <c r="AE38" s="12">
        <v>0</v>
      </c>
      <c r="AF38" s="141">
        <f t="shared" si="39"/>
        <v>0</v>
      </c>
      <c r="AG38" s="136"/>
      <c r="AH38" s="153">
        <f t="shared" si="38"/>
        <v>0</v>
      </c>
      <c r="AI38" s="157">
        <f t="shared" si="34"/>
        <v>0</v>
      </c>
      <c r="AJ38" s="156"/>
    </row>
    <row r="39" spans="1:36" ht="14.4" x14ac:dyDescent="0.3">
      <c r="B39" s="3" t="s">
        <v>35</v>
      </c>
      <c r="C39" s="120">
        <v>10</v>
      </c>
      <c r="D39" s="120">
        <v>6</v>
      </c>
      <c r="E39" s="121">
        <v>9.6999999999999993</v>
      </c>
      <c r="F39" s="118"/>
      <c r="G39" s="118"/>
      <c r="H39" s="121">
        <v>0</v>
      </c>
      <c r="I39" s="123">
        <v>9.6999999999999993</v>
      </c>
      <c r="J39" s="1">
        <f>((VLOOKUP(B39,'OIA Masters table'!A43:Q234,2,FALSE)+(VLOOKUP(B39,'OIA Masters table'!A43:Q234,4,FALSE))))</f>
        <v>19</v>
      </c>
      <c r="K39" s="81">
        <f>(VLOOKUP(Budget!$B39,'OIA Masters table'!A43:Q235,5,FALSE)+(VLOOKUP(Budget!$B39,'OIA Masters table'!A43:Q235,6,FALSE)))</f>
        <v>5</v>
      </c>
      <c r="L39" s="78">
        <f t="shared" si="28"/>
        <v>18.75</v>
      </c>
      <c r="P39" s="10">
        <f t="shared" si="35"/>
        <v>18.75</v>
      </c>
      <c r="Q39" s="12">
        <f t="shared" si="4"/>
        <v>14.225</v>
      </c>
      <c r="R39" s="2">
        <f t="shared" si="29"/>
        <v>31517.641864011814</v>
      </c>
      <c r="S39" s="2">
        <f>VLOOKUP(B39, 'May MGS Renewals'!$A$3:$D$47,2,FALSE)</f>
        <v>20000</v>
      </c>
      <c r="T39" s="2">
        <f t="shared" si="30"/>
        <v>11517.641864011814</v>
      </c>
      <c r="U39" s="12">
        <v>0.92141134912094502</v>
      </c>
      <c r="V39" s="135">
        <f t="shared" si="31"/>
        <v>0</v>
      </c>
      <c r="W39" s="136"/>
      <c r="X39" s="153">
        <f t="shared" si="36"/>
        <v>0.92141134912094513</v>
      </c>
      <c r="Y39" s="157">
        <f t="shared" si="37"/>
        <v>0</v>
      </c>
      <c r="Z39" s="156"/>
      <c r="AA39" s="12">
        <f t="shared" si="32"/>
        <v>0</v>
      </c>
      <c r="AC39" s="165"/>
      <c r="AD39" s="2"/>
      <c r="AE39" s="12">
        <v>0</v>
      </c>
      <c r="AF39" s="141">
        <f t="shared" si="39"/>
        <v>0</v>
      </c>
      <c r="AG39" s="136"/>
      <c r="AH39" s="153">
        <f t="shared" si="38"/>
        <v>0</v>
      </c>
      <c r="AI39" s="157">
        <f t="shared" si="34"/>
        <v>0</v>
      </c>
      <c r="AJ39" s="156"/>
    </row>
    <row r="40" spans="1:36" x14ac:dyDescent="0.25">
      <c r="B40" s="3" t="s">
        <v>36</v>
      </c>
      <c r="C40" s="120">
        <v>34</v>
      </c>
      <c r="D40" s="120">
        <v>12</v>
      </c>
      <c r="E40" s="121">
        <v>33.4</v>
      </c>
      <c r="F40" s="120">
        <v>30</v>
      </c>
      <c r="G40" s="120">
        <v>23</v>
      </c>
      <c r="H40" s="121">
        <v>28.85</v>
      </c>
      <c r="I40" s="123">
        <v>62.25</v>
      </c>
      <c r="J40" s="1">
        <f>18+20</f>
        <v>38</v>
      </c>
      <c r="K40" s="81">
        <f>(VLOOKUP(Budget!$B40,'OIA Masters table'!A44:Q236,5,FALSE)+(VLOOKUP(Budget!$B40,'OIA Masters table'!A44:Q236,6,FALSE)))-4</f>
        <v>1</v>
      </c>
      <c r="L40" s="78">
        <f t="shared" si="28"/>
        <v>37.950000000000003</v>
      </c>
      <c r="M40" s="81">
        <f>(VLOOKUP($B40,'OIA PHD_table'!$A$12:$R$129,2,FALSE)+(VLOOKUP($B40,'OIA PHD_table'!$A$12:$R$129,4,FALSE)))</f>
        <v>30</v>
      </c>
      <c r="N40" s="81">
        <v>18</v>
      </c>
      <c r="O40" s="14">
        <f>M40-(N40*$T$1)</f>
        <v>29.1</v>
      </c>
      <c r="P40" s="10">
        <f t="shared" si="35"/>
        <v>67.050000000000011</v>
      </c>
      <c r="Q40" s="12">
        <f t="shared" si="4"/>
        <v>35.674999999999997</v>
      </c>
      <c r="R40" s="2">
        <f t="shared" si="29"/>
        <v>79043.365448057739</v>
      </c>
      <c r="S40" s="2">
        <f>VLOOKUP(B40, 'May MGS Renewals'!$A$3:$D$47,2,FALSE)</f>
        <v>20000</v>
      </c>
      <c r="T40" s="2">
        <f t="shared" si="30"/>
        <v>59043.365448057739</v>
      </c>
      <c r="U40" s="12">
        <v>3.1234692358446199</v>
      </c>
      <c r="V40" s="135">
        <f t="shared" si="31"/>
        <v>3</v>
      </c>
      <c r="W40" s="136"/>
      <c r="X40" s="153">
        <f t="shared" si="36"/>
        <v>4.7234692358446191</v>
      </c>
      <c r="Y40" s="157">
        <f t="shared" si="37"/>
        <v>4</v>
      </c>
      <c r="Z40" s="156"/>
      <c r="AA40" s="12">
        <f t="shared" si="32"/>
        <v>28.975000000000001</v>
      </c>
      <c r="AB40" s="2">
        <f>AA40*$B$120</f>
        <v>154955.30965671837</v>
      </c>
      <c r="AC40" s="165">
        <f>VLOOKUP(B40,'May UMGF Renewals'!$A$1:$E$67,3,FALSE)</f>
        <v>54000</v>
      </c>
      <c r="AD40" s="2">
        <f t="shared" si="33"/>
        <v>100955.30965671837</v>
      </c>
      <c r="AE40" s="12">
        <v>6.73035397711456</v>
      </c>
      <c r="AF40" s="141">
        <f t="shared" si="39"/>
        <v>6</v>
      </c>
      <c r="AG40" s="136"/>
      <c r="AH40" s="153">
        <f t="shared" si="38"/>
        <v>6.7303539771145582</v>
      </c>
      <c r="AI40" s="157">
        <f t="shared" si="34"/>
        <v>6</v>
      </c>
      <c r="AJ40" s="156"/>
    </row>
    <row r="41" spans="1:36" ht="14.4" x14ac:dyDescent="0.3">
      <c r="B41" s="3" t="s">
        <v>184</v>
      </c>
      <c r="C41" s="120">
        <v>16</v>
      </c>
      <c r="D41" s="120">
        <v>9</v>
      </c>
      <c r="E41" s="121">
        <v>15.55</v>
      </c>
      <c r="F41" s="118"/>
      <c r="G41" s="118"/>
      <c r="H41" s="121">
        <v>0</v>
      </c>
      <c r="I41" s="123">
        <v>15.55</v>
      </c>
      <c r="J41" s="1">
        <f>((VLOOKUP(B41,'OIA Masters table'!A45:Q236,2,FALSE)+(VLOOKUP(B41,'OIA Masters table'!A45:Q236,4,FALSE))))</f>
        <v>22</v>
      </c>
      <c r="K41" s="81">
        <f>(VLOOKUP(Budget!$B41,'OIA Masters table'!A45:Q237,5,FALSE)+(VLOOKUP(Budget!$B41,'OIA Masters table'!A45:Q237,6,FALSE)))</f>
        <v>7</v>
      </c>
      <c r="L41" s="78">
        <f t="shared" si="28"/>
        <v>21.65</v>
      </c>
      <c r="P41" s="10">
        <f t="shared" si="35"/>
        <v>21.65</v>
      </c>
      <c r="Q41" s="12">
        <f t="shared" si="4"/>
        <v>18.600000000000001</v>
      </c>
      <c r="R41" s="2">
        <f t="shared" si="29"/>
        <v>41211.116953997873</v>
      </c>
      <c r="S41" s="2">
        <v>0</v>
      </c>
      <c r="T41" s="2">
        <f t="shared" si="30"/>
        <v>41211.116953997873</v>
      </c>
      <c r="U41" s="12">
        <v>3.2968893563198298</v>
      </c>
      <c r="V41" s="135">
        <f t="shared" si="31"/>
        <v>3</v>
      </c>
      <c r="W41" s="136"/>
      <c r="X41" s="153">
        <f t="shared" si="36"/>
        <v>3.2968893563198298</v>
      </c>
      <c r="Y41" s="157">
        <f t="shared" si="37"/>
        <v>3</v>
      </c>
      <c r="Z41" s="156"/>
      <c r="AA41" s="12">
        <f t="shared" si="32"/>
        <v>0</v>
      </c>
      <c r="AC41" s="165"/>
      <c r="AD41" s="2"/>
      <c r="AE41" s="12">
        <v>0</v>
      </c>
      <c r="AF41" s="141">
        <f t="shared" si="39"/>
        <v>0</v>
      </c>
      <c r="AG41" s="136"/>
      <c r="AH41" s="153">
        <f t="shared" si="38"/>
        <v>0</v>
      </c>
      <c r="AI41" s="157">
        <f t="shared" si="34"/>
        <v>0</v>
      </c>
      <c r="AJ41" s="156"/>
    </row>
    <row r="42" spans="1:36" ht="14.4" x14ac:dyDescent="0.3">
      <c r="B42" s="3" t="s">
        <v>185</v>
      </c>
      <c r="C42" s="120">
        <v>7</v>
      </c>
      <c r="D42" s="120">
        <v>1</v>
      </c>
      <c r="E42" s="121">
        <v>6.95</v>
      </c>
      <c r="F42" s="118"/>
      <c r="G42" s="120">
        <v>2</v>
      </c>
      <c r="H42" s="121">
        <v>-0.1</v>
      </c>
      <c r="I42" s="123">
        <v>6.8500000000000005</v>
      </c>
      <c r="J42" s="1">
        <f>((VLOOKUP(B42,'OIA Masters table'!A46:Q237,2,FALSE)+(VLOOKUP(B42,'OIA Masters table'!A46:Q237,4,FALSE))))</f>
        <v>7</v>
      </c>
      <c r="K42" s="81">
        <f>(VLOOKUP(Budget!$B42,'OIA Masters table'!A46:Q238,5,FALSE)+(VLOOKUP(Budget!$B42,'OIA Masters table'!A46:Q238,6,FALSE)))</f>
        <v>1</v>
      </c>
      <c r="L42" s="78">
        <f t="shared" si="28"/>
        <v>6.95</v>
      </c>
      <c r="M42" s="81">
        <f>(VLOOKUP($B42,'OIA PHD_table'!$A$12:$R$129,2,FALSE)+(VLOOKUP($B42,'OIA PHD_table'!$A$12:$R$129,4,FALSE)))</f>
        <v>0</v>
      </c>
      <c r="N42" s="81">
        <f>(VLOOKUP($B42,'OIA PHD_table'!$A$12:$R$129,5,FALSE)+(VLOOKUP($B42,'OIA PHD_table'!$A$12:$R$129,6,FALSE)))</f>
        <v>1</v>
      </c>
      <c r="P42" s="10">
        <f t="shared" si="35"/>
        <v>6.95</v>
      </c>
      <c r="Q42" s="12">
        <f t="shared" si="4"/>
        <v>6.95</v>
      </c>
      <c r="R42" s="2">
        <f t="shared" si="29"/>
        <v>15398.777571520712</v>
      </c>
      <c r="S42" s="2">
        <v>0</v>
      </c>
      <c r="T42" s="2">
        <f t="shared" si="30"/>
        <v>15398.777571520712</v>
      </c>
      <c r="U42" s="12">
        <v>1.23190220572166</v>
      </c>
      <c r="V42" s="135">
        <f t="shared" si="31"/>
        <v>1</v>
      </c>
      <c r="W42" s="136"/>
      <c r="X42" s="153">
        <f t="shared" si="36"/>
        <v>1.2319022057216569</v>
      </c>
      <c r="Y42" s="157">
        <f t="shared" si="37"/>
        <v>1</v>
      </c>
      <c r="Z42" s="156"/>
      <c r="AA42" s="12">
        <f t="shared" si="32"/>
        <v>-0.1</v>
      </c>
      <c r="AB42" s="2">
        <f>AA42*$B$120</f>
        <v>-534.78967957452414</v>
      </c>
      <c r="AC42" s="165">
        <v>0</v>
      </c>
      <c r="AD42" s="2">
        <f t="shared" si="33"/>
        <v>-534.78967957452414</v>
      </c>
      <c r="AE42" s="12">
        <v>-3.5652645304968297E-2</v>
      </c>
      <c r="AF42" s="141">
        <f t="shared" si="39"/>
        <v>0</v>
      </c>
      <c r="AG42" s="136"/>
      <c r="AH42" s="153">
        <f t="shared" si="38"/>
        <v>-3.5652645304968276E-2</v>
      </c>
      <c r="AI42" s="157">
        <f t="shared" si="34"/>
        <v>0</v>
      </c>
      <c r="AJ42" s="156"/>
    </row>
    <row r="43" spans="1:36" x14ac:dyDescent="0.25">
      <c r="B43" s="3" t="s">
        <v>37</v>
      </c>
      <c r="C43" s="120">
        <v>20</v>
      </c>
      <c r="D43" s="120">
        <v>9</v>
      </c>
      <c r="E43" s="121">
        <v>19.55</v>
      </c>
      <c r="F43" s="120">
        <v>3</v>
      </c>
      <c r="G43" s="120">
        <v>3</v>
      </c>
      <c r="H43" s="121">
        <v>2.85</v>
      </c>
      <c r="I43" s="123">
        <v>22.400000000000002</v>
      </c>
      <c r="J43" s="1">
        <f>((VLOOKUP(B43,'OIA Masters table'!A47:Q238,2,FALSE)+(VLOOKUP(B43,'OIA Masters table'!A47:Q238,4,FALSE))))</f>
        <v>21</v>
      </c>
      <c r="K43" s="81">
        <f>(VLOOKUP(Budget!$B43,'OIA Masters table'!A47:Q239,5,FALSE)+(VLOOKUP(Budget!$B43,'OIA Masters table'!A47:Q239,6,FALSE)))</f>
        <v>6</v>
      </c>
      <c r="L43" s="78">
        <f t="shared" si="28"/>
        <v>20.7</v>
      </c>
      <c r="M43" s="81">
        <f>(VLOOKUP($B43,'OIA PHD_table'!$A$12:$R$129,2,FALSE)+(VLOOKUP($B43,'OIA PHD_table'!$A$12:$R$129,4,FALSE)))</f>
        <v>5</v>
      </c>
      <c r="N43" s="81">
        <f>(VLOOKUP($B43,'OIA PHD_table'!$A$12:$R$129,5,FALSE)+(VLOOKUP($B43,'OIA PHD_table'!$A$12:$R$129,6,FALSE)))</f>
        <v>3</v>
      </c>
      <c r="O43" s="14">
        <f>M43-(N43*$T$1)</f>
        <v>4.8499999999999996</v>
      </c>
      <c r="P43" s="10">
        <f t="shared" si="35"/>
        <v>25.549999999999997</v>
      </c>
      <c r="Q43" s="12">
        <f t="shared" si="4"/>
        <v>20.125</v>
      </c>
      <c r="R43" s="2">
        <f t="shared" si="29"/>
        <v>44589.985413935872</v>
      </c>
      <c r="S43" s="2">
        <f>VLOOKUP(B43, 'May MGS Renewals'!$A$3:$D$47,2,FALSE)</f>
        <v>55000</v>
      </c>
      <c r="T43" s="2">
        <f t="shared" si="30"/>
        <v>-10410.014586064128</v>
      </c>
      <c r="U43" s="12">
        <v>-3.23280116688513</v>
      </c>
      <c r="V43" s="135">
        <f t="shared" si="31"/>
        <v>-3</v>
      </c>
      <c r="W43" s="136"/>
      <c r="X43" s="153">
        <f t="shared" si="36"/>
        <v>-0.83280116688513017</v>
      </c>
      <c r="Y43" s="157">
        <f t="shared" si="37"/>
        <v>0</v>
      </c>
      <c r="Z43" s="156"/>
      <c r="AA43" s="12">
        <f t="shared" si="32"/>
        <v>3.8499999999999996</v>
      </c>
      <c r="AB43" s="2">
        <f>AA43*$B$120</f>
        <v>20589.402663619177</v>
      </c>
      <c r="AC43" s="165">
        <f>VLOOKUP(B43,'May UMGF Renewals'!$A$1:$E$67,3,FALSE)</f>
        <v>36000</v>
      </c>
      <c r="AD43" s="2">
        <f t="shared" si="33"/>
        <v>-15410.597336380823</v>
      </c>
      <c r="AE43" s="12">
        <v>-1.02737315575872</v>
      </c>
      <c r="AF43" s="141">
        <f t="shared" si="39"/>
        <v>-1</v>
      </c>
      <c r="AG43" s="136"/>
      <c r="AH43" s="153">
        <f t="shared" si="38"/>
        <v>-1.0273731557587216</v>
      </c>
      <c r="AI43" s="157">
        <f t="shared" si="34"/>
        <v>-1</v>
      </c>
      <c r="AJ43" s="156"/>
    </row>
    <row r="44" spans="1:36" s="144" customFormat="1" x14ac:dyDescent="0.25">
      <c r="B44" s="145" t="s">
        <v>17</v>
      </c>
      <c r="C44" s="146">
        <f>SUM(C28:C43)</f>
        <v>171</v>
      </c>
      <c r="D44" s="146">
        <f t="shared" ref="D44:I44" si="40">SUM(D28:D43)</f>
        <v>95</v>
      </c>
      <c r="E44" s="146">
        <f t="shared" si="40"/>
        <v>166.25000000000003</v>
      </c>
      <c r="F44" s="146">
        <f t="shared" si="40"/>
        <v>94</v>
      </c>
      <c r="G44" s="146">
        <f t="shared" si="40"/>
        <v>64</v>
      </c>
      <c r="H44" s="146">
        <f t="shared" si="40"/>
        <v>90.799999999999983</v>
      </c>
      <c r="I44" s="147">
        <f t="shared" si="40"/>
        <v>252.05</v>
      </c>
      <c r="J44" s="146">
        <f>SUM(J28:J43)</f>
        <v>181</v>
      </c>
      <c r="K44" s="146">
        <f>SUM(K28:K43)</f>
        <v>74</v>
      </c>
      <c r="L44" s="146">
        <f>SUM(L28:L43)</f>
        <v>177.29999999999998</v>
      </c>
      <c r="M44" s="146">
        <f>SUM(M28:M43)</f>
        <v>99</v>
      </c>
      <c r="N44" s="146">
        <f>SUM(N28:N43)</f>
        <v>51</v>
      </c>
      <c r="O44" s="148">
        <f t="shared" ref="O44:P44" si="41">SUM(O28:O43)</f>
        <v>96.5</v>
      </c>
      <c r="P44" s="151">
        <f t="shared" si="41"/>
        <v>273.8</v>
      </c>
      <c r="Q44" s="148">
        <f t="shared" si="4"/>
        <v>171.77500000000001</v>
      </c>
      <c r="R44" s="149">
        <f>SUM(R28:R43)</f>
        <v>380593.52767596691</v>
      </c>
      <c r="S44" s="149">
        <f>SUM(S28:S43)</f>
        <v>145000</v>
      </c>
      <c r="T44" s="149">
        <f>SUM(T28:T43)</f>
        <v>235593.52767596691</v>
      </c>
      <c r="U44" s="148">
        <f>SUM(U28:U43)</f>
        <v>14.847482214077361</v>
      </c>
      <c r="V44" s="148">
        <f t="shared" ref="V44" si="42">SUM(V28:V43)</f>
        <v>10</v>
      </c>
      <c r="W44" s="148">
        <f>ROUNDUP(U44,0)</f>
        <v>15</v>
      </c>
      <c r="X44" s="148">
        <f>SUM(X28:X43)</f>
        <v>18.847482214077353</v>
      </c>
      <c r="Y44" s="148">
        <f t="shared" ref="Y44" si="43">ROUNDUP(W44,0)</f>
        <v>15</v>
      </c>
      <c r="Z44" s="148">
        <f>ROUNDUP(X44,0)</f>
        <v>19</v>
      </c>
      <c r="AA44" s="148">
        <f>SUM(AA28:AA43)</f>
        <v>93.600000000000009</v>
      </c>
      <c r="AB44" s="149">
        <f>SUM(AB28:AB43)</f>
        <v>500563.14008175459</v>
      </c>
      <c r="AC44" s="149">
        <f>SUM(AC28:AC43)</f>
        <v>288000</v>
      </c>
      <c r="AD44" s="149">
        <f>SUM(AD28:AD43)</f>
        <v>212563.14008175459</v>
      </c>
      <c r="AE44" s="148">
        <f>SUM(AE28:AE43)</f>
        <v>10.970876005450307</v>
      </c>
      <c r="AF44" s="150">
        <f t="shared" ref="AF44" si="44">SUM(AF28:AF43)</f>
        <v>8</v>
      </c>
      <c r="AG44" s="148">
        <f>ROUND(AE44,0)</f>
        <v>11</v>
      </c>
      <c r="AH44" s="148">
        <f>SUM(AH28:AH43)</f>
        <v>14.170876005450305</v>
      </c>
      <c r="AI44" s="148">
        <f>SUM(AI28:AI43)</f>
        <v>11</v>
      </c>
      <c r="AJ44" s="148">
        <f>ROUNDUP(AH44,0)</f>
        <v>15</v>
      </c>
    </row>
    <row r="45" spans="1:36" x14ac:dyDescent="0.25">
      <c r="R45" s="2"/>
      <c r="W45" s="136"/>
      <c r="Y45" s="156"/>
      <c r="Z45" s="156"/>
      <c r="AA45" s="12"/>
      <c r="AC45" s="2"/>
      <c r="AD45" s="2"/>
      <c r="AE45" s="12"/>
      <c r="AG45" s="136"/>
      <c r="AH45" s="153"/>
      <c r="AI45" s="156"/>
      <c r="AJ45" s="156"/>
    </row>
    <row r="46" spans="1:36" x14ac:dyDescent="0.25">
      <c r="A46" s="139" t="s">
        <v>38</v>
      </c>
      <c r="B46" s="56" t="s">
        <v>231</v>
      </c>
      <c r="C46" s="120">
        <v>27</v>
      </c>
      <c r="D46" s="120">
        <v>5</v>
      </c>
      <c r="E46" s="121">
        <v>26.75</v>
      </c>
      <c r="F46" s="120">
        <v>14</v>
      </c>
      <c r="G46" s="120">
        <v>5</v>
      </c>
      <c r="H46" s="121">
        <v>13.75</v>
      </c>
      <c r="I46" s="123">
        <v>40.5</v>
      </c>
      <c r="J46" s="1">
        <f>14+17</f>
        <v>31</v>
      </c>
      <c r="K46" s="81">
        <f>(VLOOKUP(Budget!$B46,'OIA Masters table'!A50:Q242,5,FALSE)+(VLOOKUP(Budget!$B46,'OIA Masters table'!A50:Q242,6,FALSE)))</f>
        <v>3</v>
      </c>
      <c r="L46" s="78">
        <f>J46-(K46*$T$1)</f>
        <v>30.85</v>
      </c>
      <c r="M46" s="81">
        <f>(VLOOKUP($B46,'OIA PHD_table'!$A$12:$R$129,2,FALSE)+(VLOOKUP($B46,'OIA PHD_table'!$A$12:$R$129,4,FALSE)))</f>
        <v>18</v>
      </c>
      <c r="N46" s="81">
        <f>(VLOOKUP($B46,'OIA PHD_table'!$A$12:$R$129,5,FALSE)+(VLOOKUP($B46,'OIA PHD_table'!$A$12:$R$129,6,FALSE)))</f>
        <v>5</v>
      </c>
      <c r="O46" s="14">
        <f>M46-(N46*$T$1)</f>
        <v>17.75</v>
      </c>
      <c r="P46" s="10">
        <f t="shared" ref="P46" si="45">L46+O46</f>
        <v>48.6</v>
      </c>
      <c r="Q46" s="12">
        <f t="shared" si="4"/>
        <v>28.8</v>
      </c>
      <c r="R46" s="2">
        <f>Q46*$B$129</f>
        <v>63810.761735222513</v>
      </c>
      <c r="S46" s="2">
        <f>VLOOKUP(B46, 'May MGS Renewals'!$A$3:$D$47,2,FALSE)</f>
        <v>40000</v>
      </c>
      <c r="T46" s="2">
        <f t="shared" ref="T46" si="46">R46-S46</f>
        <v>23810.761735222513</v>
      </c>
      <c r="U46" s="12">
        <v>1.9048609388177999</v>
      </c>
      <c r="V46" s="135">
        <f t="shared" ref="V46" si="47">ROUNDDOWN(U46,0)</f>
        <v>1</v>
      </c>
      <c r="W46" s="136"/>
      <c r="X46" s="153">
        <f>T46/12500</f>
        <v>1.9048609388178011</v>
      </c>
      <c r="Y46" s="157">
        <f>ROUNDDOWN(X46,0)</f>
        <v>1</v>
      </c>
      <c r="Z46" s="156"/>
      <c r="AA46" s="12">
        <f t="shared" ref="AA46" si="48">AVERAGE(H46,O46)</f>
        <v>15.75</v>
      </c>
      <c r="AB46" s="2">
        <f>AA46*$B$120</f>
        <v>84229.374532987553</v>
      </c>
      <c r="AC46" s="165">
        <v>24000</v>
      </c>
      <c r="AD46" s="2">
        <f t="shared" ref="AD46" si="49">AB46-AC46</f>
        <v>60229.374532987553</v>
      </c>
      <c r="AE46" s="12">
        <v>3.2152916355325001</v>
      </c>
      <c r="AF46" s="141">
        <f t="shared" ref="AF46" si="50">ROUNDDOWN(AE46,0)</f>
        <v>3</v>
      </c>
      <c r="AG46" s="136"/>
      <c r="AH46" s="153">
        <f>AD46/15000</f>
        <v>4.0152916355325035</v>
      </c>
      <c r="AI46" s="157">
        <f t="shared" si="34"/>
        <v>4</v>
      </c>
      <c r="AJ46" s="156"/>
    </row>
    <row r="47" spans="1:36" s="5" customFormat="1" x14ac:dyDescent="0.25">
      <c r="B47" s="145" t="s">
        <v>17</v>
      </c>
      <c r="C47" s="146">
        <f>SUM(C46)</f>
        <v>27</v>
      </c>
      <c r="D47" s="146">
        <f t="shared" ref="D47:P47" si="51">SUM(D46)</f>
        <v>5</v>
      </c>
      <c r="E47" s="146">
        <f t="shared" si="51"/>
        <v>26.75</v>
      </c>
      <c r="F47" s="146">
        <f t="shared" si="51"/>
        <v>14</v>
      </c>
      <c r="G47" s="146">
        <f t="shared" si="51"/>
        <v>5</v>
      </c>
      <c r="H47" s="146">
        <f t="shared" si="51"/>
        <v>13.75</v>
      </c>
      <c r="I47" s="147">
        <f t="shared" si="51"/>
        <v>40.5</v>
      </c>
      <c r="J47" s="146">
        <f t="shared" si="51"/>
        <v>31</v>
      </c>
      <c r="K47" s="146">
        <f t="shared" si="51"/>
        <v>3</v>
      </c>
      <c r="L47" s="146">
        <f t="shared" si="51"/>
        <v>30.85</v>
      </c>
      <c r="M47" s="146">
        <f t="shared" si="51"/>
        <v>18</v>
      </c>
      <c r="N47" s="146">
        <f t="shared" si="51"/>
        <v>5</v>
      </c>
      <c r="O47" s="148">
        <f t="shared" si="51"/>
        <v>17.75</v>
      </c>
      <c r="P47" s="151">
        <f t="shared" si="51"/>
        <v>48.6</v>
      </c>
      <c r="Q47" s="148">
        <f t="shared" si="4"/>
        <v>28.8</v>
      </c>
      <c r="R47" s="149">
        <f>SUM(R46)</f>
        <v>63810.761735222513</v>
      </c>
      <c r="S47" s="149">
        <f>SUM(S46)</f>
        <v>40000</v>
      </c>
      <c r="T47" s="149">
        <f>SUM(T46)</f>
        <v>23810.761735222513</v>
      </c>
      <c r="U47" s="148">
        <f>SUM(U46)</f>
        <v>1.9048609388177999</v>
      </c>
      <c r="V47" s="148">
        <f>SUM(V46)</f>
        <v>1</v>
      </c>
      <c r="W47" s="148">
        <f>ROUNDUP(U47,0)</f>
        <v>2</v>
      </c>
      <c r="X47" s="148">
        <f>SUM(X46)</f>
        <v>1.9048609388178011</v>
      </c>
      <c r="Y47" s="148">
        <f t="shared" ref="Y47" si="52">ROUNDUP(W47,0)</f>
        <v>2</v>
      </c>
      <c r="Z47" s="148">
        <f>ROUNDUP(X47,0)</f>
        <v>2</v>
      </c>
      <c r="AA47" s="148">
        <f t="shared" ref="AA47:AF47" si="53">SUM(AA46)</f>
        <v>15.75</v>
      </c>
      <c r="AB47" s="149">
        <f t="shared" si="53"/>
        <v>84229.374532987553</v>
      </c>
      <c r="AC47" s="149">
        <f t="shared" si="53"/>
        <v>24000</v>
      </c>
      <c r="AD47" s="149">
        <f t="shared" si="53"/>
        <v>60229.374532987553</v>
      </c>
      <c r="AE47" s="148">
        <f>SUM(AE46)</f>
        <v>3.2152916355325001</v>
      </c>
      <c r="AF47" s="150">
        <f t="shared" si="53"/>
        <v>3</v>
      </c>
      <c r="AG47" s="148">
        <f>ROUNDUP(AE47,0)</f>
        <v>4</v>
      </c>
      <c r="AH47" s="148">
        <f>SUM(AH46)</f>
        <v>4.0152916355325035</v>
      </c>
      <c r="AI47" s="148">
        <f>SUM(AI46)</f>
        <v>4</v>
      </c>
      <c r="AJ47" s="148">
        <f>ROUNDUP(AH47,0)</f>
        <v>5</v>
      </c>
    </row>
    <row r="48" spans="1:36" x14ac:dyDescent="0.25">
      <c r="R48" s="2"/>
      <c r="W48" s="136"/>
      <c r="Y48" s="156"/>
      <c r="Z48" s="156"/>
      <c r="AA48" s="12"/>
      <c r="AC48" s="2"/>
      <c r="AD48" s="2"/>
      <c r="AE48" s="12"/>
      <c r="AG48" s="136"/>
      <c r="AH48" s="153"/>
      <c r="AI48" s="156"/>
      <c r="AJ48" s="156"/>
    </row>
    <row r="49" spans="1:36" ht="14.4" x14ac:dyDescent="0.3">
      <c r="A49" s="139" t="s">
        <v>39</v>
      </c>
      <c r="B49" s="3" t="s">
        <v>40</v>
      </c>
      <c r="C49" s="120">
        <v>7</v>
      </c>
      <c r="D49" s="120">
        <v>12</v>
      </c>
      <c r="E49" s="121">
        <v>6.4</v>
      </c>
      <c r="F49" s="118"/>
      <c r="G49" s="118"/>
      <c r="H49" s="122"/>
      <c r="I49" s="123">
        <v>6.4</v>
      </c>
      <c r="J49" s="1">
        <f>((VLOOKUP($B49,'OIA Masters table'!A53:Q244,2,FALSE)+(VLOOKUP($B49,'OIA Masters table'!A53:Q244,4,FALSE))))</f>
        <v>17</v>
      </c>
      <c r="K49" s="81">
        <f>(VLOOKUP(Budget!$B49,'OIA Masters table'!A53:Q245,5,FALSE)+(VLOOKUP(Budget!$B49,'OIA Masters table'!A53:Q245,6,FALSE)))</f>
        <v>10</v>
      </c>
      <c r="L49" s="78">
        <f>J49-(K49*$T$1)</f>
        <v>16.5</v>
      </c>
      <c r="P49" s="10">
        <f t="shared" ref="P49:P51" si="54">L49+O49</f>
        <v>16.5</v>
      </c>
      <c r="Q49" s="12">
        <f t="shared" si="4"/>
        <v>11.45</v>
      </c>
      <c r="R49" s="2">
        <f>Q49*$B$129</f>
        <v>25369.209092649227</v>
      </c>
      <c r="S49" s="2">
        <v>0</v>
      </c>
      <c r="T49" s="2">
        <f t="shared" ref="T49:T50" si="55">R49-S49</f>
        <v>25369.209092649227</v>
      </c>
      <c r="U49" s="12">
        <v>2.0295367274119398</v>
      </c>
      <c r="V49" s="135">
        <f t="shared" ref="V49:V51" si="56">ROUNDDOWN(U49,0)</f>
        <v>2</v>
      </c>
      <c r="W49" s="136"/>
      <c r="X49" s="153">
        <f>T49/12500</f>
        <v>2.029536727411938</v>
      </c>
      <c r="Y49" s="157">
        <f>ROUNDDOWN(X49,0)</f>
        <v>2</v>
      </c>
      <c r="Z49" s="156"/>
      <c r="AA49" s="12"/>
      <c r="AC49" s="2"/>
      <c r="AD49" s="2"/>
      <c r="AE49" s="12">
        <v>0</v>
      </c>
      <c r="AF49" s="141">
        <f t="shared" ref="AF49:AF51" si="57">ROUNDDOWN(AE49,0)</f>
        <v>0</v>
      </c>
      <c r="AG49" s="136"/>
      <c r="AH49" s="153"/>
      <c r="AI49" s="156"/>
      <c r="AJ49" s="156"/>
    </row>
    <row r="50" spans="1:36" ht="14.4" x14ac:dyDescent="0.3">
      <c r="B50" s="3" t="s">
        <v>41</v>
      </c>
      <c r="C50" s="120">
        <v>22</v>
      </c>
      <c r="D50" s="120">
        <v>10</v>
      </c>
      <c r="E50" s="121">
        <v>21.5</v>
      </c>
      <c r="F50" s="118"/>
      <c r="G50" s="118"/>
      <c r="H50" s="122"/>
      <c r="I50" s="123">
        <v>21.5</v>
      </c>
      <c r="J50" s="1">
        <f>((VLOOKUP($B50,'OIA Masters table'!A54:Q245,2,FALSE)+(VLOOKUP($B50,'OIA Masters table'!A54:Q245,4,FALSE))))</f>
        <v>30</v>
      </c>
      <c r="K50" s="81">
        <f>(VLOOKUP(Budget!$B50,'OIA Masters table'!A54:Q246,5,FALSE)+(VLOOKUP(Budget!$B50,'OIA Masters table'!A54:Q246,6,FALSE)))</f>
        <v>28</v>
      </c>
      <c r="L50" s="78">
        <f>J50-(K50*$T$1)</f>
        <v>28.6</v>
      </c>
      <c r="P50" s="10">
        <f t="shared" si="54"/>
        <v>28.6</v>
      </c>
      <c r="Q50" s="12">
        <f t="shared" si="4"/>
        <v>25.05</v>
      </c>
      <c r="R50" s="2">
        <f>Q50*$B$129</f>
        <v>55502.068800948749</v>
      </c>
      <c r="S50" s="2">
        <f>VLOOKUP(B50, 'May MGS Renewals'!$A$3:$D$47,2,FALSE)</f>
        <v>10000</v>
      </c>
      <c r="T50" s="2">
        <f t="shared" si="55"/>
        <v>45502.068800948749</v>
      </c>
      <c r="U50" s="12">
        <v>2.8401655040759</v>
      </c>
      <c r="V50" s="135">
        <f t="shared" si="56"/>
        <v>2</v>
      </c>
      <c r="W50" s="136"/>
      <c r="X50" s="153">
        <f t="shared" ref="X50" si="58">T50/12500</f>
        <v>3.6401655040758998</v>
      </c>
      <c r="Y50" s="157">
        <f>ROUNDDOWN(X50,0)</f>
        <v>3</v>
      </c>
      <c r="Z50" s="156"/>
      <c r="AA50" s="12"/>
      <c r="AC50" s="2"/>
      <c r="AD50" s="2"/>
      <c r="AE50" s="12">
        <v>0</v>
      </c>
      <c r="AF50" s="141">
        <f t="shared" si="57"/>
        <v>0</v>
      </c>
      <c r="AG50" s="136"/>
      <c r="AH50" s="153"/>
      <c r="AI50" s="156"/>
      <c r="AJ50" s="156"/>
    </row>
    <row r="51" spans="1:36" ht="14.4" x14ac:dyDescent="0.3">
      <c r="B51" s="72" t="s">
        <v>39</v>
      </c>
      <c r="C51" s="118"/>
      <c r="D51" s="118"/>
      <c r="E51" s="121">
        <v>0</v>
      </c>
      <c r="F51" s="120">
        <v>22</v>
      </c>
      <c r="G51" s="120">
        <v>23</v>
      </c>
      <c r="H51" s="121">
        <v>20.85</v>
      </c>
      <c r="I51" s="123">
        <v>20.85</v>
      </c>
      <c r="M51" s="81">
        <f>(VLOOKUP($B51,'OIA PHD_table'!$A$12:$R$129,2,FALSE)+(VLOOKUP($B51,'OIA PHD_table'!$A$12:$R$129,4,FALSE)))</f>
        <v>23</v>
      </c>
      <c r="N51" s="81">
        <f>(VLOOKUP($B51,'OIA PHD_table'!$A$12:$R$129,5,FALSE)+(VLOOKUP($B51,'OIA PHD_table'!$A$12:$R$129,6,FALSE)))</f>
        <v>23</v>
      </c>
      <c r="O51" s="14">
        <f>M51-(N51*$T$1)</f>
        <v>21.85</v>
      </c>
      <c r="P51" s="10">
        <f t="shared" si="54"/>
        <v>21.85</v>
      </c>
      <c r="Q51" s="12">
        <f t="shared" si="4"/>
        <v>0</v>
      </c>
      <c r="R51" s="2"/>
      <c r="U51" s="12">
        <v>0</v>
      </c>
      <c r="V51" s="135">
        <f t="shared" si="56"/>
        <v>0</v>
      </c>
      <c r="W51" s="136"/>
      <c r="Y51" s="157"/>
      <c r="Z51" s="156"/>
      <c r="AA51" s="12">
        <f t="shared" ref="AA51" si="59">AVERAGE(H51,O51)</f>
        <v>21.35</v>
      </c>
      <c r="AB51" s="2">
        <f>AA51*$B$120</f>
        <v>114177.59658916091</v>
      </c>
      <c r="AC51" s="2">
        <f>VLOOKUP(B51,'May UMGF Renewals'!$A$1:$E$67,3,FALSE)</f>
        <v>84000</v>
      </c>
      <c r="AD51" s="2">
        <f t="shared" ref="AD51" si="60">AB51-AC51</f>
        <v>30177.596589160908</v>
      </c>
      <c r="AE51" s="12">
        <v>2.0118397726107302</v>
      </c>
      <c r="AF51" s="141">
        <f t="shared" si="57"/>
        <v>2</v>
      </c>
      <c r="AG51" s="136"/>
      <c r="AH51" s="153">
        <f t="shared" ref="AH51" si="61">AD51/15000</f>
        <v>2.0118397726107271</v>
      </c>
      <c r="AI51" s="157">
        <f t="shared" ref="AI51" si="62">ROUNDDOWN(AH51,0)</f>
        <v>2</v>
      </c>
      <c r="AJ51" s="156"/>
    </row>
    <row r="52" spans="1:36" s="5" customFormat="1" x14ac:dyDescent="0.25">
      <c r="B52" s="145" t="s">
        <v>17</v>
      </c>
      <c r="C52" s="146">
        <f>SUM(C49:C51)</f>
        <v>29</v>
      </c>
      <c r="D52" s="146">
        <f t="shared" ref="D52:I52" si="63">SUM(D49:D51)</f>
        <v>22</v>
      </c>
      <c r="E52" s="146">
        <f t="shared" si="63"/>
        <v>27.9</v>
      </c>
      <c r="F52" s="146">
        <f t="shared" si="63"/>
        <v>22</v>
      </c>
      <c r="G52" s="146">
        <f t="shared" si="63"/>
        <v>23</v>
      </c>
      <c r="H52" s="146">
        <f t="shared" si="63"/>
        <v>20.85</v>
      </c>
      <c r="I52" s="147">
        <f t="shared" si="63"/>
        <v>48.75</v>
      </c>
      <c r="J52" s="146">
        <f>SUM(J49:J50)</f>
        <v>47</v>
      </c>
      <c r="K52" s="146">
        <f>SUM(K49:K50)</f>
        <v>38</v>
      </c>
      <c r="L52" s="146">
        <f>SUM(L49:L50)</f>
        <v>45.1</v>
      </c>
      <c r="M52" s="148">
        <f t="shared" ref="M52:N52" si="64">SUM(M49:M51)</f>
        <v>23</v>
      </c>
      <c r="N52" s="148">
        <f t="shared" si="64"/>
        <v>23</v>
      </c>
      <c r="O52" s="148">
        <f>SUM(O49:O51)</f>
        <v>21.85</v>
      </c>
      <c r="P52" s="151">
        <f>SUM(P49:P51)</f>
        <v>66.95</v>
      </c>
      <c r="Q52" s="148">
        <f t="shared" si="4"/>
        <v>36.5</v>
      </c>
      <c r="R52" s="149">
        <f>SUM(R49:R51)</f>
        <v>80871.277893597973</v>
      </c>
      <c r="S52" s="149">
        <f t="shared" ref="S52" si="65">SUM(S49:S50)</f>
        <v>10000</v>
      </c>
      <c r="T52" s="149">
        <f>SUM(T49:T51)</f>
        <v>70871.277893597973</v>
      </c>
      <c r="U52" s="148">
        <f t="shared" ref="U52:V52" si="66">SUM(U49:U50)</f>
        <v>4.8697022314878398</v>
      </c>
      <c r="V52" s="148">
        <f t="shared" si="66"/>
        <v>4</v>
      </c>
      <c r="W52" s="148">
        <f>ROUNDUP(U52,0)</f>
        <v>5</v>
      </c>
      <c r="X52" s="148">
        <f>SUM(X49:X51)</f>
        <v>5.6697022314878378</v>
      </c>
      <c r="Y52" s="148">
        <f>SUM(Y49:Y51)</f>
        <v>5</v>
      </c>
      <c r="Z52" s="148">
        <f>ROUNDUP(X52,0)</f>
        <v>6</v>
      </c>
      <c r="AA52" s="148">
        <f>SUM(AA51)</f>
        <v>21.35</v>
      </c>
      <c r="AB52" s="149">
        <f>SUM(AB49:AB51)</f>
        <v>114177.59658916091</v>
      </c>
      <c r="AC52" s="149">
        <f>SUM(AC49:AC51)</f>
        <v>84000</v>
      </c>
      <c r="AD52" s="149">
        <f>SUM(AD51)</f>
        <v>30177.596589160908</v>
      </c>
      <c r="AE52" s="148">
        <f>SUM(AE49:AE51)</f>
        <v>2.0118397726107302</v>
      </c>
      <c r="AF52" s="150">
        <f>SUM(AF49:AF51)</f>
        <v>2</v>
      </c>
      <c r="AG52" s="148">
        <f>ROUND(AE52,0)</f>
        <v>2</v>
      </c>
      <c r="AH52" s="148">
        <f>SUM(AH51)</f>
        <v>2.0118397726107271</v>
      </c>
      <c r="AI52" s="148">
        <f>SUM(AI51)</f>
        <v>2</v>
      </c>
      <c r="AJ52" s="148">
        <f>ROUNDUP(AH52,0)</f>
        <v>3</v>
      </c>
    </row>
    <row r="53" spans="1:36" x14ac:dyDescent="0.25">
      <c r="R53" s="2"/>
      <c r="W53" s="136"/>
      <c r="Y53" s="156"/>
      <c r="Z53" s="156"/>
      <c r="AA53" s="12"/>
      <c r="AC53" s="2"/>
      <c r="AD53" s="2"/>
      <c r="AE53" s="12"/>
      <c r="AG53" s="136"/>
      <c r="AH53" s="153"/>
      <c r="AI53" s="156"/>
      <c r="AJ53" s="156"/>
    </row>
    <row r="54" spans="1:36" x14ac:dyDescent="0.25">
      <c r="A54" s="139" t="s">
        <v>42</v>
      </c>
      <c r="B54" s="3" t="s">
        <v>43</v>
      </c>
      <c r="C54" s="120">
        <v>44</v>
      </c>
      <c r="D54" s="120">
        <v>15</v>
      </c>
      <c r="E54" s="121">
        <v>43.25</v>
      </c>
      <c r="F54" s="120">
        <v>25</v>
      </c>
      <c r="G54" s="120">
        <v>12</v>
      </c>
      <c r="H54" s="121">
        <v>24.4</v>
      </c>
      <c r="I54" s="123">
        <v>67.650000000000006</v>
      </c>
      <c r="J54" s="1">
        <f>((VLOOKUP(B54,'OIA Masters table'!A58:Q249,2,FALSE)+(VLOOKUP(B54,'OIA Masters table'!A58:Q249,4,FALSE))))</f>
        <v>47</v>
      </c>
      <c r="K54" s="81">
        <f>(VLOOKUP(Budget!$B54,'OIA Masters table'!A58:Q250,5,FALSE)+(VLOOKUP(Budget!$B54,'OIA Masters table'!A58:Q250,6,FALSE)))</f>
        <v>21</v>
      </c>
      <c r="L54" s="78">
        <f>J54-(K54*$T$1)</f>
        <v>45.95</v>
      </c>
      <c r="M54" s="81">
        <f>(VLOOKUP($B54,'OIA PHD_table'!$A$12:$R$129,2,FALSE)+(VLOOKUP($B54,'OIA PHD_table'!$A$12:$R$129,4,FALSE)))</f>
        <v>26</v>
      </c>
      <c r="N54" s="81">
        <f>(VLOOKUP($B54,'OIA PHD_table'!$A$12:$R$129,5,FALSE)+(VLOOKUP($B54,'OIA PHD_table'!$A$12:$R$129,6,FALSE)))</f>
        <v>13</v>
      </c>
      <c r="O54" s="14">
        <f>M54-(N54*$T$1)</f>
        <v>25.35</v>
      </c>
      <c r="P54" s="10">
        <f t="shared" ref="P54:P56" si="67">L54+O54</f>
        <v>71.300000000000011</v>
      </c>
      <c r="Q54" s="12">
        <f t="shared" si="4"/>
        <v>44.6</v>
      </c>
      <c r="R54" s="2">
        <f>Q54*$B$129</f>
        <v>98818.054631629318</v>
      </c>
      <c r="S54" s="2">
        <f>VLOOKUP(B54, 'May MGS Renewals'!$A$3:$D$47,2,FALSE)</f>
        <v>35000</v>
      </c>
      <c r="T54" s="2">
        <f t="shared" ref="T54:T56" si="68">R54-S54</f>
        <v>63818.054631629318</v>
      </c>
      <c r="U54" s="12">
        <v>5.9054443705303497</v>
      </c>
      <c r="V54" s="135">
        <f t="shared" ref="V54:V56" si="69">ROUNDDOWN(U54,0)</f>
        <v>5</v>
      </c>
      <c r="W54" s="136"/>
      <c r="X54" s="153">
        <f>T54/12500</f>
        <v>5.1054443705303454</v>
      </c>
      <c r="Y54" s="157">
        <f>ROUNDDOWN(X54,0)</f>
        <v>5</v>
      </c>
      <c r="Z54" s="156"/>
      <c r="AA54" s="12">
        <f t="shared" ref="AA54:AA56" si="70">AVERAGE(H54,O54)</f>
        <v>24.875</v>
      </c>
      <c r="AB54" s="2">
        <f>AA54*$B$120</f>
        <v>133028.93279416289</v>
      </c>
      <c r="AC54" s="2">
        <f>VLOOKUP(B54,'May UMGF Renewals'!$A$1:$E$67,3,FALSE)</f>
        <v>96000</v>
      </c>
      <c r="AD54" s="2">
        <f t="shared" ref="AD54:AD56" si="71">AB54-AC54</f>
        <v>37028.932794162887</v>
      </c>
      <c r="AE54" s="12">
        <v>2.4685955196108602</v>
      </c>
      <c r="AF54" s="141">
        <f t="shared" ref="AF54:AF56" si="72">ROUNDDOWN(AE54,0)</f>
        <v>2</v>
      </c>
      <c r="AG54" s="136"/>
      <c r="AH54" s="153">
        <f t="shared" ref="AH54:AH56" si="73">AD54/15000</f>
        <v>2.4685955196108593</v>
      </c>
      <c r="AI54" s="157">
        <f t="shared" ref="AI54:AI56" si="74">ROUNDDOWN(AH54,0)</f>
        <v>2</v>
      </c>
      <c r="AJ54" s="156"/>
    </row>
    <row r="55" spans="1:36" x14ac:dyDescent="0.25">
      <c r="B55" s="3" t="s">
        <v>44</v>
      </c>
      <c r="C55" s="120">
        <v>52</v>
      </c>
      <c r="D55" s="120">
        <v>5</v>
      </c>
      <c r="E55" s="121">
        <v>51.75</v>
      </c>
      <c r="F55" s="120">
        <v>75</v>
      </c>
      <c r="G55" s="120">
        <v>18</v>
      </c>
      <c r="H55" s="121">
        <v>74.099999999999994</v>
      </c>
      <c r="I55" s="123">
        <v>125.85</v>
      </c>
      <c r="J55" s="1">
        <f>((VLOOKUP(B55,'OIA Masters table'!A59:Q250,2,FALSE)+(VLOOKUP(B55,'OIA Masters table'!A59:Q250,4,FALSE))))</f>
        <v>48</v>
      </c>
      <c r="K55" s="81">
        <f>(VLOOKUP(Budget!$B55,'OIA Masters table'!A59:Q251,5,FALSE)+(VLOOKUP(Budget!$B55,'OIA Masters table'!A59:Q251,6,FALSE)))</f>
        <v>25</v>
      </c>
      <c r="L55" s="78">
        <f>J55-(K55*$T$1)</f>
        <v>46.75</v>
      </c>
      <c r="M55" s="81">
        <f>(VLOOKUP($B55,'OIA PHD_table'!$A$12:$R$129,2,FALSE)+(VLOOKUP($B55,'OIA PHD_table'!$A$12:$R$129,4,FALSE)))</f>
        <v>69</v>
      </c>
      <c r="N55" s="81">
        <f>(VLOOKUP($B55,'OIA PHD_table'!$A$12:$R$129,5,FALSE)+(VLOOKUP($B55,'OIA PHD_table'!$A$12:$R$129,6,FALSE)))</f>
        <v>30</v>
      </c>
      <c r="O55" s="14">
        <f>M55-(N55*$T$1)</f>
        <v>67.5</v>
      </c>
      <c r="P55" s="10">
        <f t="shared" si="67"/>
        <v>114.25</v>
      </c>
      <c r="Q55" s="12">
        <f t="shared" si="4"/>
        <v>49.25</v>
      </c>
      <c r="R55" s="2">
        <f>Q55*$B$129</f>
        <v>109120.83387012877</v>
      </c>
      <c r="S55" s="2">
        <f>VLOOKUP(B55, 'May MGS Renewals'!$A$3:$D$47,2,FALSE)</f>
        <v>50000</v>
      </c>
      <c r="T55" s="2">
        <f t="shared" si="68"/>
        <v>59120.833870128772</v>
      </c>
      <c r="U55" s="12">
        <v>4.7296667096103002</v>
      </c>
      <c r="V55" s="135">
        <f t="shared" si="69"/>
        <v>4</v>
      </c>
      <c r="W55" s="136"/>
      <c r="X55" s="153">
        <f t="shared" ref="X55:X56" si="75">T55/12500</f>
        <v>4.729666709610302</v>
      </c>
      <c r="Y55" s="157">
        <f t="shared" ref="Y55:Y56" si="76">ROUNDDOWN(X55,0)</f>
        <v>4</v>
      </c>
      <c r="Z55" s="156"/>
      <c r="AA55" s="12">
        <f t="shared" si="70"/>
        <v>70.8</v>
      </c>
      <c r="AB55" s="2">
        <f>AA55*$B$120</f>
        <v>378631.0931387631</v>
      </c>
      <c r="AC55" s="2">
        <f>VLOOKUP(B55,'May UMGF Renewals'!$A$1:$E$67,3,FALSE)</f>
        <v>186000</v>
      </c>
      <c r="AD55" s="2">
        <f t="shared" si="71"/>
        <v>192631.0931387631</v>
      </c>
      <c r="AE55" s="12">
        <v>12.4420728759175</v>
      </c>
      <c r="AF55" s="141">
        <f t="shared" si="72"/>
        <v>12</v>
      </c>
      <c r="AG55" s="136"/>
      <c r="AH55" s="153">
        <f t="shared" si="73"/>
        <v>12.842072875917539</v>
      </c>
      <c r="AI55" s="157">
        <f t="shared" si="74"/>
        <v>12</v>
      </c>
      <c r="AJ55" s="156"/>
    </row>
    <row r="56" spans="1:36" x14ac:dyDescent="0.25">
      <c r="B56" s="3" t="s">
        <v>91</v>
      </c>
      <c r="C56" s="120">
        <v>52</v>
      </c>
      <c r="D56" s="120">
        <v>5</v>
      </c>
      <c r="E56" s="121">
        <v>51.75</v>
      </c>
      <c r="F56" s="120">
        <v>45</v>
      </c>
      <c r="G56" s="120">
        <v>25</v>
      </c>
      <c r="H56" s="121">
        <v>43.75</v>
      </c>
      <c r="I56" s="123">
        <v>95.5</v>
      </c>
      <c r="J56" s="1">
        <f>((VLOOKUP(B56,'OIA Masters table'!A60:Q251,2,FALSE)+(VLOOKUP(B56,'OIA Masters table'!A60:Q251,4,FALSE))))</f>
        <v>51</v>
      </c>
      <c r="K56" s="81">
        <f>(VLOOKUP(Budget!$B56,'OIA Masters table'!A60:Q252,5,FALSE)+(VLOOKUP(Budget!$B56,'OIA Masters table'!A60:Q252,6,FALSE)))</f>
        <v>20</v>
      </c>
      <c r="L56" s="78">
        <f>J56-(K56*$T$1)</f>
        <v>50</v>
      </c>
      <c r="M56" s="81">
        <f>(VLOOKUP($B56,'OIA PHD_table'!$A$12:$R$129,2,FALSE)+(VLOOKUP($B56,'OIA PHD_table'!$A$12:$R$129,4,FALSE)))</f>
        <v>50</v>
      </c>
      <c r="N56" s="81">
        <f>(VLOOKUP($B56,'OIA PHD_table'!$A$12:$R$129,5,FALSE)+(VLOOKUP($B56,'OIA PHD_table'!$A$12:$R$129,6,FALSE)))</f>
        <v>21</v>
      </c>
      <c r="O56" s="14">
        <f>M56-(N56*$T$1)</f>
        <v>48.95</v>
      </c>
      <c r="P56" s="10">
        <f t="shared" si="67"/>
        <v>98.95</v>
      </c>
      <c r="Q56" s="12">
        <f t="shared" si="4"/>
        <v>50.875</v>
      </c>
      <c r="R56" s="2">
        <f>Q56*$B$129</f>
        <v>112721.26747498075</v>
      </c>
      <c r="S56" s="2">
        <f>VLOOKUP(B56, 'May MGS Renewals'!$A$3:$D$47,2,FALSE)</f>
        <v>50000</v>
      </c>
      <c r="T56" s="2">
        <f t="shared" si="68"/>
        <v>62721.267474980748</v>
      </c>
      <c r="U56" s="12">
        <v>5.0177013979984597</v>
      </c>
      <c r="V56" s="135">
        <f t="shared" si="69"/>
        <v>5</v>
      </c>
      <c r="W56" s="136"/>
      <c r="X56" s="153">
        <f t="shared" si="75"/>
        <v>5.0177013979984597</v>
      </c>
      <c r="Y56" s="157">
        <f t="shared" si="76"/>
        <v>5</v>
      </c>
      <c r="Z56" s="156"/>
      <c r="AA56" s="12">
        <f t="shared" si="70"/>
        <v>46.35</v>
      </c>
      <c r="AB56" s="2">
        <f>AA56*$B$120</f>
        <v>247875.01648279195</v>
      </c>
      <c r="AC56" s="2">
        <f>VLOOKUP(B56,'May UMGF Renewals'!$A$1:$E$67,3,FALSE)</f>
        <v>108000</v>
      </c>
      <c r="AD56" s="2">
        <f t="shared" si="71"/>
        <v>139875.01648279195</v>
      </c>
      <c r="AE56" s="12">
        <v>9.3250010988528</v>
      </c>
      <c r="AF56" s="141">
        <f t="shared" si="72"/>
        <v>9</v>
      </c>
      <c r="AG56" s="136"/>
      <c r="AH56" s="153">
        <f t="shared" si="73"/>
        <v>9.3250010988527965</v>
      </c>
      <c r="AI56" s="157">
        <f t="shared" si="74"/>
        <v>9</v>
      </c>
      <c r="AJ56" s="156"/>
    </row>
    <row r="57" spans="1:36" s="5" customFormat="1" x14ac:dyDescent="0.25">
      <c r="B57" s="145" t="s">
        <v>17</v>
      </c>
      <c r="C57" s="146">
        <f>SUM(C54:C56)</f>
        <v>148</v>
      </c>
      <c r="D57" s="146">
        <f t="shared" ref="D57:I57" si="77">SUM(D54:D56)</f>
        <v>25</v>
      </c>
      <c r="E57" s="146">
        <f t="shared" si="77"/>
        <v>146.75</v>
      </c>
      <c r="F57" s="146">
        <f t="shared" si="77"/>
        <v>145</v>
      </c>
      <c r="G57" s="146">
        <f t="shared" si="77"/>
        <v>55</v>
      </c>
      <c r="H57" s="146">
        <f t="shared" si="77"/>
        <v>142.25</v>
      </c>
      <c r="I57" s="147">
        <f t="shared" si="77"/>
        <v>289</v>
      </c>
      <c r="J57" s="146">
        <f>SUM(J54:J56)</f>
        <v>146</v>
      </c>
      <c r="K57" s="146">
        <f>SUM(K54:K56)</f>
        <v>66</v>
      </c>
      <c r="L57" s="146">
        <f>SUM(L54:L56)</f>
        <v>142.69999999999999</v>
      </c>
      <c r="M57" s="146">
        <f>SUM(M54:M56)</f>
        <v>145</v>
      </c>
      <c r="N57" s="146">
        <f>SUM(N54:N56)</f>
        <v>64</v>
      </c>
      <c r="O57" s="148">
        <f t="shared" ref="O57:P57" si="78">SUM(O54:O56)</f>
        <v>141.80000000000001</v>
      </c>
      <c r="P57" s="147">
        <f t="shared" si="78"/>
        <v>284.5</v>
      </c>
      <c r="Q57" s="148">
        <f t="shared" si="4"/>
        <v>144.72499999999999</v>
      </c>
      <c r="R57" s="149">
        <f>SUM(R54:R56)</f>
        <v>320660.15597673884</v>
      </c>
      <c r="S57" s="149">
        <f>SUM(S54:S56)</f>
        <v>135000</v>
      </c>
      <c r="T57" s="149">
        <f>SUM(T54:T56)</f>
        <v>185660.15597673884</v>
      </c>
      <c r="U57" s="148">
        <f>SUM(U54:U56)</f>
        <v>15.65281247813911</v>
      </c>
      <c r="V57" s="148">
        <f t="shared" ref="V57" si="79">SUM(V54:V56)</f>
        <v>14</v>
      </c>
      <c r="W57" s="148">
        <f>ROUNDUP(U57,0)</f>
        <v>16</v>
      </c>
      <c r="X57" s="148">
        <f>SUM(X54:X56)</f>
        <v>14.852812478139107</v>
      </c>
      <c r="Y57" s="148">
        <f>SUM(Y54:Y56)</f>
        <v>14</v>
      </c>
      <c r="Z57" s="148">
        <f>ROUNDUP(X57,0)</f>
        <v>15</v>
      </c>
      <c r="AA57" s="148">
        <f>SUM(AA54:AA56)</f>
        <v>142.02500000000001</v>
      </c>
      <c r="AB57" s="149">
        <f>SUM(AB54:AB56)</f>
        <v>759535.04241571797</v>
      </c>
      <c r="AC57" s="149">
        <f>SUM(AC54:AC56)</f>
        <v>390000</v>
      </c>
      <c r="AD57" s="149">
        <f>SUM(AD54:AD56)</f>
        <v>369535.04241571797</v>
      </c>
      <c r="AE57" s="148">
        <f>SUM(AE54:AE56)</f>
        <v>24.23566949438116</v>
      </c>
      <c r="AF57" s="150">
        <f t="shared" ref="AF57" si="80">SUM(AF54:AF56)</f>
        <v>23</v>
      </c>
      <c r="AG57" s="148">
        <f>ROUNDUP(AE57,0)</f>
        <v>25</v>
      </c>
      <c r="AH57" s="148">
        <f>SUM(AH54:AH56)</f>
        <v>24.635669494381197</v>
      </c>
      <c r="AI57" s="148">
        <f>SUM(AI54:AI56)</f>
        <v>23</v>
      </c>
      <c r="AJ57" s="148">
        <f>ROUNDUP(AH57,0)</f>
        <v>25</v>
      </c>
    </row>
    <row r="58" spans="1:36" x14ac:dyDescent="0.25">
      <c r="R58" s="2"/>
      <c r="W58" s="136"/>
      <c r="Y58" s="156"/>
      <c r="Z58" s="156"/>
      <c r="AA58" s="12"/>
      <c r="AC58" s="2"/>
      <c r="AD58" s="2"/>
      <c r="AE58" s="12"/>
      <c r="AG58" s="136"/>
      <c r="AH58" s="153"/>
      <c r="AI58" s="156"/>
      <c r="AJ58" s="156"/>
    </row>
    <row r="59" spans="1:36" ht="14.4" x14ac:dyDescent="0.3">
      <c r="A59" s="139" t="s">
        <v>45</v>
      </c>
      <c r="B59" s="3" t="s">
        <v>46</v>
      </c>
      <c r="C59" s="120">
        <v>25</v>
      </c>
      <c r="D59" s="120">
        <v>15</v>
      </c>
      <c r="E59" s="121">
        <v>24.25</v>
      </c>
      <c r="F59" s="118"/>
      <c r="G59" s="118"/>
      <c r="H59" s="122"/>
      <c r="I59" s="123">
        <v>24.25</v>
      </c>
      <c r="J59" s="1">
        <f>((VLOOKUP(B59,'OIA Masters table'!A63:Q254,2,FALSE)+(VLOOKUP(B59,'OIA Masters table'!A63:Q254,4,FALSE))))</f>
        <v>28</v>
      </c>
      <c r="K59" s="81">
        <f>(VLOOKUP(Budget!$B59,'OIA Masters table'!A63:Q255,5,FALSE)+(VLOOKUP(Budget!$B59,'OIA Masters table'!A63:Q255,6,FALSE)))</f>
        <v>13</v>
      </c>
      <c r="L59" s="78">
        <f>J59-(K59*$T$1)</f>
        <v>27.35</v>
      </c>
      <c r="M59" s="81">
        <f>(VLOOKUP($B59,'OIA PHD_table'!$A$12:$R$129,2,FALSE)+(VLOOKUP($B59,'OIA PHD_table'!$A$12:$R$129,4,FALSE)))</f>
        <v>13</v>
      </c>
      <c r="N59" s="81">
        <f>(VLOOKUP($B59,'OIA PHD_table'!$A$12:$R$129,5,FALSE)+(VLOOKUP($B59,'OIA PHD_table'!$A$12:$R$129,6,FALSE)))</f>
        <v>5</v>
      </c>
      <c r="O59" s="14">
        <f>M59-(N59*$T$1)</f>
        <v>12.75</v>
      </c>
      <c r="P59" s="10">
        <f t="shared" ref="P59:P61" si="81">L59+O59</f>
        <v>40.1</v>
      </c>
      <c r="Q59" s="12">
        <f t="shared" si="4"/>
        <v>25.8</v>
      </c>
      <c r="R59" s="2">
        <f>Q59*$B$129</f>
        <v>57163.807387803507</v>
      </c>
      <c r="S59" s="2">
        <f>VLOOKUP(B59, 'May MGS Renewals'!$A$3:$D$47,2,FALSE)</f>
        <v>20000</v>
      </c>
      <c r="T59" s="2">
        <f t="shared" ref="T59:T61" si="82">R59-S59</f>
        <v>37163.807387803507</v>
      </c>
      <c r="U59" s="12">
        <v>2.9731045910242799</v>
      </c>
      <c r="V59" s="135">
        <f t="shared" ref="V59:V61" si="83">ROUNDDOWN(U59,0)</f>
        <v>2</v>
      </c>
      <c r="W59" s="136"/>
      <c r="X59" s="153">
        <f>T59/12500</f>
        <v>2.9731045910242804</v>
      </c>
      <c r="Y59" s="157">
        <f>ROUNDDOWN(X59,0)</f>
        <v>2</v>
      </c>
      <c r="Z59" s="156"/>
      <c r="AA59" s="12">
        <f t="shared" ref="AA59" si="84">AVERAGE(H59,O59)</f>
        <v>12.75</v>
      </c>
      <c r="AB59" s="2">
        <f>AA59*$B$120</f>
        <v>68185.684145751831</v>
      </c>
      <c r="AC59" s="2">
        <f>VLOOKUP(B59,'May UMGF Renewals'!$A$1:$E$67,3,FALSE)</f>
        <v>36000</v>
      </c>
      <c r="AD59" s="2">
        <f t="shared" ref="AD59:AD61" si="85">AB59-AC59</f>
        <v>32185.684145751831</v>
      </c>
      <c r="AE59" s="12">
        <v>3.3457122763834599</v>
      </c>
      <c r="AF59" s="141">
        <f t="shared" ref="AF59:AF61" si="86">ROUNDDOWN(AE59,0)</f>
        <v>3</v>
      </c>
      <c r="AG59" s="136"/>
      <c r="AH59" s="153">
        <f t="shared" ref="AH59:AH61" si="87">AD59/15000</f>
        <v>2.1457122763834553</v>
      </c>
      <c r="AI59" s="157">
        <f t="shared" ref="AI59:AI61" si="88">ROUNDDOWN(AH59,0)</f>
        <v>2</v>
      </c>
      <c r="AJ59" s="156"/>
    </row>
    <row r="60" spans="1:36" x14ac:dyDescent="0.25">
      <c r="A60" s="139" t="s">
        <v>47</v>
      </c>
      <c r="B60" s="3" t="s">
        <v>48</v>
      </c>
      <c r="C60" s="120">
        <v>9</v>
      </c>
      <c r="D60" s="120">
        <v>5</v>
      </c>
      <c r="E60" s="121">
        <v>8.75</v>
      </c>
      <c r="F60" s="120">
        <v>5</v>
      </c>
      <c r="G60" s="120">
        <v>3</v>
      </c>
      <c r="H60" s="121">
        <v>4.8499999999999996</v>
      </c>
      <c r="I60" s="123">
        <v>13.6</v>
      </c>
      <c r="J60" s="1">
        <f>((VLOOKUP(B60,'OIA Masters table'!A64:Q255,2,FALSE)+(VLOOKUP(B60,'OIA Masters table'!A64:Q255,4,FALSE))))</f>
        <v>9</v>
      </c>
      <c r="K60" s="81">
        <f>(VLOOKUP(Budget!$B60,'OIA Masters table'!A64:Q256,5,FALSE)+(VLOOKUP(Budget!$B60,'OIA Masters table'!A64:Q256,6,FALSE)))</f>
        <v>8</v>
      </c>
      <c r="L60" s="78">
        <f>J60-(K60*$T$1)</f>
        <v>8.6</v>
      </c>
      <c r="M60" s="81">
        <f>(VLOOKUP($B60,'OIA PHD_table'!$A$12:$R$129,2,FALSE)+(VLOOKUP($B60,'OIA PHD_table'!$A$12:$R$129,4,FALSE)))</f>
        <v>5</v>
      </c>
      <c r="N60" s="81">
        <f>(VLOOKUP($B60,'OIA PHD_table'!$A$12:$R$129,5,FALSE)+(VLOOKUP($B60,'OIA PHD_table'!$A$12:$R$129,6,FALSE)))</f>
        <v>3</v>
      </c>
      <c r="O60" s="14">
        <f>M60-(N60*$T$1)</f>
        <v>4.8499999999999996</v>
      </c>
      <c r="P60" s="10">
        <f t="shared" si="81"/>
        <v>13.45</v>
      </c>
      <c r="Q60" s="12">
        <f t="shared" si="4"/>
        <v>8.6750000000000007</v>
      </c>
      <c r="R60" s="2">
        <f>Q60*$B$129</f>
        <v>19220.776321286645</v>
      </c>
      <c r="S60" s="2">
        <f>VLOOKUP(B60, 'May MGS Renewals'!$A$3:$D$47,2,FALSE)</f>
        <v>15000</v>
      </c>
      <c r="T60" s="2">
        <f t="shared" si="82"/>
        <v>4220.7763212866448</v>
      </c>
      <c r="U60" s="12">
        <v>0.33766210570293198</v>
      </c>
      <c r="V60" s="135">
        <f t="shared" si="83"/>
        <v>0</v>
      </c>
      <c r="W60" s="136"/>
      <c r="X60" s="153">
        <f t="shared" ref="X60:X61" si="89">T60/12500</f>
        <v>0.33766210570293159</v>
      </c>
      <c r="Y60" s="157">
        <f t="shared" ref="Y60:Y61" si="90">ROUNDDOWN(X60,0)</f>
        <v>0</v>
      </c>
      <c r="Z60" s="156"/>
      <c r="AA60" s="12">
        <f>AVERAGE(H60,O60)</f>
        <v>4.8499999999999996</v>
      </c>
      <c r="AB60" s="2">
        <f>AA60*$B$120</f>
        <v>25937.299459364418</v>
      </c>
      <c r="AC60" s="2">
        <f>VLOOKUP(B60,'May UMGF Renewals'!$A$1:$E$67,3,FALSE)</f>
        <v>54000</v>
      </c>
      <c r="AD60" s="2">
        <f t="shared" si="85"/>
        <v>-28062.700540635582</v>
      </c>
      <c r="AE60" s="12">
        <f>AD60/15000</f>
        <v>-1.8708467027090387</v>
      </c>
      <c r="AF60" s="141">
        <f t="shared" si="86"/>
        <v>-1</v>
      </c>
      <c r="AG60" s="136"/>
      <c r="AH60" s="153">
        <f t="shared" si="87"/>
        <v>-1.8708467027090387</v>
      </c>
      <c r="AI60" s="157">
        <f t="shared" si="88"/>
        <v>-1</v>
      </c>
      <c r="AJ60" s="156"/>
    </row>
    <row r="61" spans="1:36" x14ac:dyDescent="0.25">
      <c r="B61" s="3" t="s">
        <v>49</v>
      </c>
      <c r="C61" s="120">
        <v>39</v>
      </c>
      <c r="D61" s="120">
        <v>19</v>
      </c>
      <c r="E61" s="121">
        <v>38.049999999999997</v>
      </c>
      <c r="F61" s="120">
        <v>12</v>
      </c>
      <c r="G61" s="120">
        <v>13</v>
      </c>
      <c r="H61" s="121">
        <v>11.35</v>
      </c>
      <c r="I61" s="123">
        <v>49.4</v>
      </c>
      <c r="J61" s="1">
        <f>((VLOOKUP(B61,'OIA Masters table'!A66:Q256,2,FALSE)+(VLOOKUP(B61,'OIA Masters table'!A66:Q256,4,FALSE))))</f>
        <v>29</v>
      </c>
      <c r="K61" s="81">
        <f>(VLOOKUP(Budget!$B61,'OIA Masters table'!A65:Q257,5,FALSE)+(VLOOKUP(Budget!$B61,'OIA Masters table'!A65:Q257,6,FALSE)))</f>
        <v>27</v>
      </c>
      <c r="L61" s="78">
        <f>J61-(K61*$T$1)</f>
        <v>27.65</v>
      </c>
      <c r="M61" s="81">
        <f>(VLOOKUP($B61,'OIA PHD_table'!$A$12:$R$129,2,FALSE)+(VLOOKUP($B61,'OIA PHD_table'!$A$12:$R$129,4,FALSE)))</f>
        <v>10</v>
      </c>
      <c r="N61" s="81">
        <f>(VLOOKUP($B61,'OIA PHD_table'!$A$12:$R$129,5,FALSE)+(VLOOKUP($B61,'OIA PHD_table'!$A$12:$R$129,6,FALSE)))</f>
        <v>13</v>
      </c>
      <c r="O61" s="14">
        <f>M61-(N61*$T$1)</f>
        <v>9.35</v>
      </c>
      <c r="P61" s="10">
        <f t="shared" si="81"/>
        <v>37</v>
      </c>
      <c r="Q61" s="12">
        <f t="shared" si="4"/>
        <v>32.849999999999994</v>
      </c>
      <c r="R61" s="2">
        <f>Q61*$B$129</f>
        <v>72784.150104238171</v>
      </c>
      <c r="S61" s="2">
        <f>VLOOKUP(B61, 'May MGS Renewals'!$A$3:$D$47,2,FALSE)</f>
        <v>40000</v>
      </c>
      <c r="T61" s="2">
        <f t="shared" si="82"/>
        <v>32784.150104238171</v>
      </c>
      <c r="U61" s="12">
        <v>2.62273200833905</v>
      </c>
      <c r="V61" s="135">
        <f t="shared" si="83"/>
        <v>2</v>
      </c>
      <c r="W61" s="136"/>
      <c r="X61" s="153">
        <f t="shared" si="89"/>
        <v>2.6227320083390535</v>
      </c>
      <c r="Y61" s="157">
        <f t="shared" si="90"/>
        <v>2</v>
      </c>
      <c r="Z61" s="156"/>
      <c r="AA61" s="12">
        <f>AVERAGE(H61,O61)</f>
        <v>10.35</v>
      </c>
      <c r="AB61" s="2">
        <f>AA61*$B$120</f>
        <v>55350.731835963248</v>
      </c>
      <c r="AC61" s="2">
        <f>VLOOKUP(B61,'May UMGF Renewals'!$A$1:$E$67,3,FALSE)</f>
        <v>24000</v>
      </c>
      <c r="AD61" s="2">
        <f t="shared" si="85"/>
        <v>31350.731835963248</v>
      </c>
      <c r="AE61" s="12">
        <v>1.29004878906422</v>
      </c>
      <c r="AF61" s="141">
        <f t="shared" si="86"/>
        <v>1</v>
      </c>
      <c r="AG61" s="136"/>
      <c r="AH61" s="153">
        <f t="shared" si="87"/>
        <v>2.0900487890642165</v>
      </c>
      <c r="AI61" s="157">
        <f t="shared" si="88"/>
        <v>2</v>
      </c>
      <c r="AJ61" s="156"/>
    </row>
    <row r="62" spans="1:36" s="5" customFormat="1" x14ac:dyDescent="0.25">
      <c r="B62" s="145" t="s">
        <v>17</v>
      </c>
      <c r="C62" s="146">
        <f>SUM(C59:C61)</f>
        <v>73</v>
      </c>
      <c r="D62" s="146">
        <f t="shared" ref="D62:I62" si="91">SUM(D59:D61)</f>
        <v>39</v>
      </c>
      <c r="E62" s="146">
        <f t="shared" si="91"/>
        <v>71.05</v>
      </c>
      <c r="F62" s="146">
        <f t="shared" si="91"/>
        <v>17</v>
      </c>
      <c r="G62" s="146">
        <f t="shared" si="91"/>
        <v>16</v>
      </c>
      <c r="H62" s="146">
        <f t="shared" si="91"/>
        <v>16.2</v>
      </c>
      <c r="I62" s="147">
        <f t="shared" si="91"/>
        <v>87.25</v>
      </c>
      <c r="J62" s="146">
        <f>SUM(J59:J61)</f>
        <v>66</v>
      </c>
      <c r="K62" s="146">
        <f>SUM(K59:K61)</f>
        <v>48</v>
      </c>
      <c r="L62" s="146">
        <f>SUM(L59:L61)</f>
        <v>63.6</v>
      </c>
      <c r="M62" s="146">
        <f>SUM(M59:M61)</f>
        <v>28</v>
      </c>
      <c r="N62" s="146">
        <f>SUM(N59:N61)</f>
        <v>21</v>
      </c>
      <c r="O62" s="148">
        <f t="shared" ref="O62:P62" si="92">SUM(O59:O61)</f>
        <v>26.950000000000003</v>
      </c>
      <c r="P62" s="147">
        <f t="shared" si="92"/>
        <v>90.55</v>
      </c>
      <c r="Q62" s="148">
        <f t="shared" si="4"/>
        <v>67.325000000000003</v>
      </c>
      <c r="R62" s="149">
        <f>SUM(R59:R61)</f>
        <v>149168.73381332832</v>
      </c>
      <c r="S62" s="149">
        <f>SUM(S59:S61)</f>
        <v>75000</v>
      </c>
      <c r="T62" s="149">
        <f>SUM(T59:T61)</f>
        <v>74168.733813328319</v>
      </c>
      <c r="U62" s="148">
        <f t="shared" ref="T62:V62" si="93">SUM(U59:U61)</f>
        <v>5.9334987050662615</v>
      </c>
      <c r="V62" s="148">
        <f t="shared" si="93"/>
        <v>4</v>
      </c>
      <c r="W62" s="148">
        <f>ROUNDUP(U62,0)</f>
        <v>6</v>
      </c>
      <c r="X62" s="148">
        <f>SUM(X59:X61)</f>
        <v>5.9334987050662651</v>
      </c>
      <c r="Y62" s="148">
        <f>SUM(Y59:Y61)</f>
        <v>4</v>
      </c>
      <c r="Z62" s="148">
        <f>ROUNDUP(X62,0)</f>
        <v>6</v>
      </c>
      <c r="AA62" s="148">
        <f t="shared" ref="AA62:AF62" si="94">SUM(AA59:AA61)</f>
        <v>27.950000000000003</v>
      </c>
      <c r="AB62" s="149">
        <f t="shared" si="94"/>
        <v>149473.71544107952</v>
      </c>
      <c r="AC62" s="149">
        <f t="shared" si="94"/>
        <v>114000</v>
      </c>
      <c r="AD62" s="149">
        <f t="shared" si="94"/>
        <v>35473.715441079497</v>
      </c>
      <c r="AE62" s="148">
        <v>2.7649143627386401</v>
      </c>
      <c r="AF62" s="150">
        <f t="shared" si="94"/>
        <v>3</v>
      </c>
      <c r="AG62" s="148">
        <f>ROUND(AE62,0)</f>
        <v>3</v>
      </c>
      <c r="AH62" s="148">
        <f>SUM(AH59:AH61)</f>
        <v>2.3649143627386331</v>
      </c>
      <c r="AI62" s="148">
        <f>SUM(AI59:AI61)</f>
        <v>3</v>
      </c>
      <c r="AJ62" s="148">
        <f>ROUNDUP(AH62,0)</f>
        <v>3</v>
      </c>
    </row>
    <row r="63" spans="1:36" x14ac:dyDescent="0.25">
      <c r="R63" s="2"/>
      <c r="W63" s="136"/>
      <c r="Y63" s="156"/>
      <c r="Z63" s="156"/>
      <c r="AA63" s="12"/>
      <c r="AC63" s="2"/>
      <c r="AD63" s="2"/>
      <c r="AE63" s="12"/>
      <c r="AG63" s="136"/>
      <c r="AH63" s="153"/>
      <c r="AI63" s="156"/>
      <c r="AJ63" s="156"/>
    </row>
    <row r="64" spans="1:36" x14ac:dyDescent="0.25">
      <c r="R64" s="2"/>
      <c r="W64" s="136"/>
      <c r="Y64" s="156"/>
      <c r="Z64" s="156"/>
      <c r="AA64" s="12"/>
      <c r="AC64" s="2"/>
      <c r="AD64" s="2"/>
      <c r="AE64" s="12"/>
      <c r="AG64" s="136"/>
      <c r="AH64" s="153"/>
      <c r="AI64" s="156"/>
      <c r="AJ64" s="156"/>
    </row>
    <row r="65" spans="1:36" ht="14.4" x14ac:dyDescent="0.3">
      <c r="A65" s="139" t="s">
        <v>50</v>
      </c>
      <c r="B65" s="3" t="s">
        <v>51</v>
      </c>
      <c r="C65" s="103"/>
      <c r="D65" s="103"/>
      <c r="E65" s="122"/>
      <c r="F65" s="120">
        <v>19</v>
      </c>
      <c r="G65" s="120">
        <v>26</v>
      </c>
      <c r="H65" s="121">
        <v>17.7</v>
      </c>
      <c r="I65" s="123">
        <v>17.7</v>
      </c>
      <c r="M65" s="81">
        <f>(VLOOKUP($B65,'OIA PHD_table'!$A$12:$R$129,2,FALSE)+(VLOOKUP($B65,'OIA PHD_table'!$A$12:$R$129,4,FALSE)))</f>
        <v>19</v>
      </c>
      <c r="N65" s="81">
        <f>(VLOOKUP($B65,'OIA PHD_table'!$A$12:$R$129,5,FALSE)+(VLOOKUP($B65,'OIA PHD_table'!$A$12:$R$129,6,FALSE)))</f>
        <v>8</v>
      </c>
      <c r="O65" s="14">
        <f>M65-(N65*$T$1)</f>
        <v>18.600000000000001</v>
      </c>
      <c r="P65" s="10">
        <f t="shared" ref="P65:P69" si="95">L65+O65</f>
        <v>18.600000000000001</v>
      </c>
      <c r="R65" s="2"/>
      <c r="S65" s="2">
        <f>VLOOKUP(B65, 'May MGS Renewals'!$A$3:$D$47,2,FALSE)</f>
        <v>0</v>
      </c>
      <c r="T65" s="2">
        <f t="shared" ref="T65:T69" si="96">R65-S65</f>
        <v>0</v>
      </c>
      <c r="U65" s="12">
        <v>0</v>
      </c>
      <c r="V65" s="135">
        <f t="shared" ref="V65:V69" si="97">ROUNDDOWN(U65,0)</f>
        <v>0</v>
      </c>
      <c r="W65" s="136"/>
      <c r="X65" s="153">
        <f>T65/12500</f>
        <v>0</v>
      </c>
      <c r="Y65" s="157">
        <f>ROUNDDOWN(X65,0)</f>
        <v>0</v>
      </c>
      <c r="Z65" s="156"/>
      <c r="AA65" s="12">
        <f t="shared" ref="AA65" si="98">AVERAGE(H65,O65)</f>
        <v>18.149999999999999</v>
      </c>
      <c r="AB65" s="2">
        <f>AA65*$B$120</f>
        <v>97064.326842776121</v>
      </c>
      <c r="AC65" s="2">
        <f>VLOOKUP(B65,'May UMGF Renewals'!$A$1:$E$67,3,FALSE)</f>
        <v>54000</v>
      </c>
      <c r="AD65" s="2">
        <f t="shared" ref="AD65:AD69" si="99">AB65-AC65</f>
        <v>43064.326842776121</v>
      </c>
      <c r="AE65" s="12">
        <v>2.8709551228517398</v>
      </c>
      <c r="AF65" s="141">
        <f t="shared" ref="AF65:AF69" si="100">ROUNDDOWN(AE65,0)</f>
        <v>2</v>
      </c>
      <c r="AG65" s="136"/>
      <c r="AH65" s="153">
        <f t="shared" ref="AH65:AH69" si="101">AD65/15000</f>
        <v>2.8709551228517416</v>
      </c>
      <c r="AI65" s="157">
        <f t="shared" ref="AI65:AI72" si="102">ROUNDDOWN(AH65,0)</f>
        <v>2</v>
      </c>
      <c r="AJ65" s="156"/>
    </row>
    <row r="66" spans="1:36" x14ac:dyDescent="0.25">
      <c r="B66" s="3" t="s">
        <v>52</v>
      </c>
      <c r="C66" s="120">
        <v>12</v>
      </c>
      <c r="D66" s="120">
        <v>2</v>
      </c>
      <c r="E66" s="121">
        <v>11.9</v>
      </c>
      <c r="F66" s="120">
        <v>8</v>
      </c>
      <c r="G66" s="120">
        <v>1</v>
      </c>
      <c r="H66" s="121">
        <v>7.95</v>
      </c>
      <c r="I66" s="123">
        <v>19.850000000000001</v>
      </c>
      <c r="J66" s="1">
        <f>((VLOOKUP(B66,'OIA Masters table'!A72:Q261,2,FALSE)+(VLOOKUP(B66,'OIA Masters table'!A72:Q261,4,FALSE))))</f>
        <v>8</v>
      </c>
      <c r="K66" s="81">
        <f>(VLOOKUP(Budget!$B66,'OIA Masters table'!A70:Q262,5,FALSE)+(VLOOKUP(Budget!$B66,'OIA Masters table'!A70:Q262,6,FALSE)))</f>
        <v>2</v>
      </c>
      <c r="L66" s="78">
        <f>J66-(K66*$T$1)</f>
        <v>7.9</v>
      </c>
      <c r="M66" s="81">
        <f>(VLOOKUP($B66,'OIA PHD_table'!$A$12:$R$129,2,FALSE)+(VLOOKUP($B66,'OIA PHD_table'!$A$12:$R$129,4,FALSE)))</f>
        <v>10</v>
      </c>
      <c r="N66" s="81">
        <f>(VLOOKUP($B66,'OIA PHD_table'!$A$12:$R$129,5,FALSE)+(VLOOKUP($B66,'OIA PHD_table'!$A$12:$R$129,6,FALSE)))</f>
        <v>3</v>
      </c>
      <c r="O66" s="14">
        <f>M66-(N66*$T$1)</f>
        <v>9.85</v>
      </c>
      <c r="P66" s="10">
        <f t="shared" si="95"/>
        <v>17.75</v>
      </c>
      <c r="Q66" s="12">
        <f t="shared" si="4"/>
        <v>9.9</v>
      </c>
      <c r="R66" s="2">
        <f>Q66*$B$129</f>
        <v>21934.949346482739</v>
      </c>
      <c r="S66" s="2">
        <f>VLOOKUP(B66, 'May MGS Renewals'!$A$3:$D$47,2,FALSE)</f>
        <v>10000</v>
      </c>
      <c r="T66" s="2">
        <f t="shared" si="96"/>
        <v>11934.949346482739</v>
      </c>
      <c r="U66" s="12">
        <v>0.95479594771861898</v>
      </c>
      <c r="V66" s="135">
        <f t="shared" si="97"/>
        <v>0</v>
      </c>
      <c r="W66" s="136"/>
      <c r="X66" s="153">
        <f t="shared" ref="X66:X69" si="103">T66/12500</f>
        <v>0.95479594771861909</v>
      </c>
      <c r="Y66" s="157">
        <f t="shared" ref="Y66:Y69" si="104">ROUNDDOWN(X66,0)</f>
        <v>0</v>
      </c>
      <c r="Z66" s="156"/>
      <c r="AA66" s="12">
        <f>AVERAGE(H66,O66)</f>
        <v>8.9</v>
      </c>
      <c r="AB66" s="2">
        <f>AA66*$B$120</f>
        <v>47596.281482132654</v>
      </c>
      <c r="AC66" s="2">
        <f>VLOOKUP(B66,'May UMGF Renewals'!$A$1:$E$67,3,FALSE)</f>
        <v>36000</v>
      </c>
      <c r="AD66" s="2">
        <f t="shared" si="99"/>
        <v>11596.281482132654</v>
      </c>
      <c r="AE66" s="12">
        <v>0.77308543214217695</v>
      </c>
      <c r="AF66" s="141">
        <f t="shared" si="100"/>
        <v>0</v>
      </c>
      <c r="AG66" s="136"/>
      <c r="AH66" s="153">
        <f t="shared" si="101"/>
        <v>0.77308543214217695</v>
      </c>
      <c r="AI66" s="157">
        <f t="shared" si="102"/>
        <v>0</v>
      </c>
      <c r="AJ66" s="156"/>
    </row>
    <row r="67" spans="1:36" x14ac:dyDescent="0.25">
      <c r="B67" s="3" t="s">
        <v>220</v>
      </c>
      <c r="M67" s="81">
        <f>(VLOOKUP($B67,'OIA PHD_table'!$A$12:$R$129,2,FALSE)+(VLOOKUP($B67,'OIA PHD_table'!$A$12:$R$129,4,FALSE)))</f>
        <v>1</v>
      </c>
      <c r="N67" s="81">
        <f>(VLOOKUP($B67,'OIA PHD_table'!$A$12:$R$129,5,FALSE)+(VLOOKUP($B67,'OIA PHD_table'!$A$12:$R$129,6,FALSE)))</f>
        <v>0</v>
      </c>
      <c r="O67" s="14">
        <f>M67-(N67*$T$1)</f>
        <v>1</v>
      </c>
      <c r="P67" s="10">
        <f t="shared" si="95"/>
        <v>1</v>
      </c>
      <c r="R67" s="2"/>
      <c r="S67" s="2">
        <v>0</v>
      </c>
      <c r="T67" s="2">
        <f t="shared" si="96"/>
        <v>0</v>
      </c>
      <c r="U67" s="12">
        <v>0</v>
      </c>
      <c r="V67" s="135">
        <f t="shared" si="97"/>
        <v>0</v>
      </c>
      <c r="W67" s="136"/>
      <c r="X67" s="153">
        <f t="shared" si="103"/>
        <v>0</v>
      </c>
      <c r="Y67" s="157">
        <f t="shared" si="104"/>
        <v>0</v>
      </c>
      <c r="Z67" s="156"/>
      <c r="AA67" s="12">
        <f>AVERAGE(H67,O67)</f>
        <v>1</v>
      </c>
      <c r="AB67" s="2">
        <f>AA67*$B$120</f>
        <v>5347.8967957452414</v>
      </c>
      <c r="AC67" s="2"/>
      <c r="AD67" s="2">
        <f t="shared" si="99"/>
        <v>5347.8967957452414</v>
      </c>
      <c r="AE67" s="12">
        <v>0.356526453049683</v>
      </c>
      <c r="AF67" s="141">
        <f t="shared" si="100"/>
        <v>0</v>
      </c>
      <c r="AG67" s="136"/>
      <c r="AH67" s="153">
        <f t="shared" si="101"/>
        <v>0.35652645304968278</v>
      </c>
      <c r="AI67" s="157">
        <f t="shared" si="102"/>
        <v>0</v>
      </c>
      <c r="AJ67" s="156"/>
    </row>
    <row r="68" spans="1:36" ht="14.4" x14ac:dyDescent="0.3">
      <c r="B68" s="3" t="s">
        <v>53</v>
      </c>
      <c r="C68" s="120">
        <v>9</v>
      </c>
      <c r="D68" s="120">
        <v>2</v>
      </c>
      <c r="E68" s="121">
        <v>8.9</v>
      </c>
      <c r="F68" s="118"/>
      <c r="G68" s="118"/>
      <c r="H68" s="122"/>
      <c r="I68" s="123">
        <v>8.9</v>
      </c>
      <c r="J68" s="1">
        <f>((VLOOKUP(B68,'OIA Masters table'!A73:Q262,2,FALSE)+(VLOOKUP(B68,'OIA Masters table'!A73:Q262,4,FALSE))))</f>
        <v>10</v>
      </c>
      <c r="K68" s="81">
        <f>(VLOOKUP(Budget!$B68,'OIA Masters table'!A71:Q263,5,FALSE)+(VLOOKUP(Budget!$B68,'OIA Masters table'!A71:Q263,6,FALSE)))</f>
        <v>4</v>
      </c>
      <c r="L68" s="78">
        <f>J68-(K68*$T$1)</f>
        <v>9.8000000000000007</v>
      </c>
      <c r="P68" s="10">
        <f t="shared" si="95"/>
        <v>9.8000000000000007</v>
      </c>
      <c r="Q68" s="12">
        <f t="shared" si="4"/>
        <v>9.3500000000000014</v>
      </c>
      <c r="R68" s="2">
        <f>Q68*$B$129</f>
        <v>20716.341049455925</v>
      </c>
      <c r="S68" s="2">
        <v>0</v>
      </c>
      <c r="T68" s="2">
        <f t="shared" si="96"/>
        <v>20716.341049455925</v>
      </c>
      <c r="U68" s="12">
        <v>1.65730728395647</v>
      </c>
      <c r="V68" s="135">
        <f t="shared" si="97"/>
        <v>1</v>
      </c>
      <c r="W68" s="136"/>
      <c r="X68" s="153">
        <f t="shared" si="103"/>
        <v>1.657307283956474</v>
      </c>
      <c r="Y68" s="157">
        <f t="shared" si="104"/>
        <v>1</v>
      </c>
      <c r="Z68" s="156"/>
      <c r="AA68" s="12"/>
      <c r="AB68" s="2">
        <f>AA68*$B$120</f>
        <v>0</v>
      </c>
      <c r="AC68" s="2"/>
      <c r="AD68" s="2"/>
      <c r="AE68" s="12">
        <v>0</v>
      </c>
      <c r="AF68" s="141">
        <f t="shared" si="100"/>
        <v>0</v>
      </c>
      <c r="AG68" s="136"/>
      <c r="AH68" s="153">
        <f t="shared" si="101"/>
        <v>0</v>
      </c>
      <c r="AI68" s="157">
        <f t="shared" si="102"/>
        <v>0</v>
      </c>
      <c r="AJ68" s="156"/>
    </row>
    <row r="69" spans="1:36" x14ac:dyDescent="0.25">
      <c r="B69" s="3" t="s">
        <v>92</v>
      </c>
      <c r="C69" s="120">
        <v>26</v>
      </c>
      <c r="D69" s="120">
        <v>9</v>
      </c>
      <c r="E69" s="121">
        <v>25.55</v>
      </c>
      <c r="F69" s="120">
        <v>24</v>
      </c>
      <c r="G69" s="120">
        <v>1</v>
      </c>
      <c r="H69" s="121">
        <v>23.95</v>
      </c>
      <c r="I69" s="123">
        <v>49.5</v>
      </c>
      <c r="J69" s="1">
        <f>((VLOOKUP(B69,'OIA Masters table'!A74:Q263,2,FALSE)+(VLOOKUP(B69,'OIA Masters table'!A74:Q263,4,FALSE))))</f>
        <v>20</v>
      </c>
      <c r="K69" s="81">
        <f>(VLOOKUP(Budget!$B69,'OIA Masters table'!A72:Q264,5,FALSE)+(VLOOKUP(Budget!$B69,'OIA Masters table'!A72:Q264,6,FALSE)))</f>
        <v>10</v>
      </c>
      <c r="L69" s="78">
        <f>J69-(K69*$T$1)</f>
        <v>19.5</v>
      </c>
      <c r="M69" s="81">
        <f>(VLOOKUP($B69,'OIA PHD_table'!$A$12:$R$129,2,FALSE)+(VLOOKUP($B69,'OIA PHD_table'!$A$12:$R$129,4,FALSE)))</f>
        <v>28</v>
      </c>
      <c r="N69" s="81">
        <f>(VLOOKUP($B69,'OIA PHD_table'!$A$12:$R$129,5,FALSE)+(VLOOKUP($B69,'OIA PHD_table'!$A$12:$R$129,6,FALSE)))</f>
        <v>17</v>
      </c>
      <c r="O69" s="14">
        <f>M69-(N69*$T$1)</f>
        <v>27.15</v>
      </c>
      <c r="P69" s="10">
        <f t="shared" si="95"/>
        <v>46.65</v>
      </c>
      <c r="Q69" s="12">
        <f t="shared" si="4"/>
        <v>22.524999999999999</v>
      </c>
      <c r="R69" s="2">
        <f>Q69*$B$129</f>
        <v>49907.548891871076</v>
      </c>
      <c r="S69" s="2">
        <f>VLOOKUP(B69, 'May MGS Renewals'!$A$3:$D$47,2,FALSE)</f>
        <v>15000</v>
      </c>
      <c r="T69" s="2">
        <f t="shared" si="96"/>
        <v>34907.548891871076</v>
      </c>
      <c r="U69" s="12">
        <v>2.7926039113496901</v>
      </c>
      <c r="V69" s="135">
        <f t="shared" si="97"/>
        <v>2</v>
      </c>
      <c r="W69" s="136"/>
      <c r="X69" s="153">
        <f t="shared" si="103"/>
        <v>2.7926039113496861</v>
      </c>
      <c r="Y69" s="157">
        <f t="shared" si="104"/>
        <v>2</v>
      </c>
      <c r="Z69" s="156"/>
      <c r="AA69" s="12">
        <f>AVERAGE(H69,O69)</f>
        <v>25.549999999999997</v>
      </c>
      <c r="AB69" s="2">
        <f>AA69*$B$120</f>
        <v>136638.76313129091</v>
      </c>
      <c r="AC69" s="2">
        <f>VLOOKUP(B69,'May UMGF Renewals'!$A$1:$E$67,3,FALSE)</f>
        <v>84000</v>
      </c>
      <c r="AD69" s="2">
        <f t="shared" si="99"/>
        <v>52638.763131290907</v>
      </c>
      <c r="AE69" s="12">
        <v>3.5092508754193901</v>
      </c>
      <c r="AF69" s="141">
        <f t="shared" si="100"/>
        <v>3</v>
      </c>
      <c r="AG69" s="136"/>
      <c r="AH69" s="153">
        <f t="shared" si="101"/>
        <v>3.5092508754193936</v>
      </c>
      <c r="AI69" s="157">
        <f t="shared" si="102"/>
        <v>3</v>
      </c>
      <c r="AJ69" s="156"/>
    </row>
    <row r="70" spans="1:36" s="5" customFormat="1" x14ac:dyDescent="0.25">
      <c r="B70" s="145" t="s">
        <v>17</v>
      </c>
      <c r="C70" s="146">
        <f>SUM(C65:C69)</f>
        <v>47</v>
      </c>
      <c r="D70" s="146">
        <f t="shared" ref="D70:I70" si="105">SUM(D65:D69)</f>
        <v>13</v>
      </c>
      <c r="E70" s="146">
        <f t="shared" si="105"/>
        <v>46.35</v>
      </c>
      <c r="F70" s="146">
        <f t="shared" si="105"/>
        <v>51</v>
      </c>
      <c r="G70" s="146">
        <f t="shared" si="105"/>
        <v>28</v>
      </c>
      <c r="H70" s="146">
        <f t="shared" si="105"/>
        <v>49.599999999999994</v>
      </c>
      <c r="I70" s="147">
        <f t="shared" si="105"/>
        <v>95.949999999999989</v>
      </c>
      <c r="J70" s="146">
        <f>SUM(J65:J69)</f>
        <v>38</v>
      </c>
      <c r="K70" s="146">
        <f>SUM(K65:K69)</f>
        <v>16</v>
      </c>
      <c r="L70" s="146">
        <f>SUM(L65:L69)</f>
        <v>37.200000000000003</v>
      </c>
      <c r="M70" s="146">
        <f>SUM(M65:M69)</f>
        <v>58</v>
      </c>
      <c r="N70" s="146">
        <f>SUM(N65:N69)</f>
        <v>28</v>
      </c>
      <c r="O70" s="148">
        <f t="shared" ref="O70:P70" si="106">SUM(O65:O69)</f>
        <v>56.6</v>
      </c>
      <c r="P70" s="147">
        <f t="shared" si="106"/>
        <v>93.800000000000011</v>
      </c>
      <c r="Q70" s="148">
        <f t="shared" si="4"/>
        <v>41.775000000000006</v>
      </c>
      <c r="R70" s="149">
        <f>SUM(R65:R69)</f>
        <v>92558.839287809737</v>
      </c>
      <c r="S70" s="149">
        <f>SUM(S65:S69)</f>
        <v>25000</v>
      </c>
      <c r="T70" s="149">
        <f>SUM(T65:T69)</f>
        <v>67558.839287809737</v>
      </c>
      <c r="U70" s="148">
        <f t="shared" ref="T70:V70" si="107">SUM(U65:U69)</f>
        <v>5.4047071430247797</v>
      </c>
      <c r="V70" s="148">
        <f t="shared" si="107"/>
        <v>3</v>
      </c>
      <c r="W70" s="148">
        <f>ROUNDUP(U70,0)</f>
        <v>6</v>
      </c>
      <c r="X70" s="148">
        <f>SUM(X65:X69)</f>
        <v>5.4047071430247797</v>
      </c>
      <c r="Y70" s="148">
        <f>SUM(Y65:Y69)</f>
        <v>3</v>
      </c>
      <c r="Z70" s="148">
        <f>ROUNDUP(X70,0)</f>
        <v>6</v>
      </c>
      <c r="AA70" s="148">
        <f>SUM(AA65:AA69)</f>
        <v>53.599999999999994</v>
      </c>
      <c r="AB70" s="149">
        <f>SUM(AB65:AB69)</f>
        <v>286647.26825194492</v>
      </c>
      <c r="AC70" s="149">
        <f>SUM(AC65:AC69)</f>
        <v>174000</v>
      </c>
      <c r="AD70" s="149">
        <f>SUM(AD65:AD69)</f>
        <v>112647.26825194492</v>
      </c>
      <c r="AE70" s="148">
        <f>SUM(AE65:AE69)</f>
        <v>7.5098178834629898</v>
      </c>
      <c r="AF70" s="150">
        <f t="shared" ref="AF70" si="108">SUM(AF65:AF69)</f>
        <v>5</v>
      </c>
      <c r="AG70" s="148">
        <f>ROUND(AE70,0)</f>
        <v>8</v>
      </c>
      <c r="AH70" s="148">
        <f>SUM(AH65:AH69)</f>
        <v>7.5098178834629952</v>
      </c>
      <c r="AI70" s="148">
        <f t="shared" si="102"/>
        <v>7</v>
      </c>
      <c r="AJ70" s="148">
        <f>ROUNDUP(AH70,0)</f>
        <v>8</v>
      </c>
    </row>
    <row r="71" spans="1:36" x14ac:dyDescent="0.25">
      <c r="R71" s="2"/>
      <c r="W71" s="136"/>
      <c r="Y71" s="156"/>
      <c r="Z71" s="156"/>
      <c r="AA71" s="12"/>
      <c r="AC71" s="2"/>
      <c r="AD71" s="2"/>
      <c r="AE71" s="12"/>
      <c r="AG71" s="136"/>
      <c r="AH71" s="153"/>
      <c r="AI71" s="156"/>
      <c r="AJ71" s="156"/>
    </row>
    <row r="72" spans="1:36" x14ac:dyDescent="0.25">
      <c r="A72" s="139" t="s">
        <v>195</v>
      </c>
      <c r="B72" s="3" t="s">
        <v>54</v>
      </c>
      <c r="C72" s="120">
        <v>4</v>
      </c>
      <c r="D72" s="120">
        <v>0</v>
      </c>
      <c r="E72" s="121">
        <v>4</v>
      </c>
      <c r="F72" s="120">
        <v>4</v>
      </c>
      <c r="G72" s="120">
        <v>1</v>
      </c>
      <c r="H72" s="121">
        <v>3.95</v>
      </c>
      <c r="I72" s="123">
        <v>7.95</v>
      </c>
      <c r="J72" s="1">
        <f>((VLOOKUP(B72,'OIA Masters table'!A77:Q266,2,FALSE)+(VLOOKUP(B72,'OIA Masters table'!A77:Q266,4,FALSE))))</f>
        <v>2</v>
      </c>
      <c r="K72" s="81">
        <f>(VLOOKUP(Budget!$B72,'OIA Masters table'!A75:Q267,5,FALSE)+(VLOOKUP(Budget!$B72,'OIA Masters table'!A75:Q267,6,FALSE)))</f>
        <v>1</v>
      </c>
      <c r="L72" s="78">
        <f>J72-(K72*$T$1)</f>
        <v>1.95</v>
      </c>
      <c r="M72" s="81">
        <f>(VLOOKUP($B72,'OIA PHD_table'!$A$12:$R$129,2,FALSE)+(VLOOKUP($B72,'OIA PHD_table'!$A$12:$R$129,4,FALSE)))</f>
        <v>7</v>
      </c>
      <c r="N72" s="81">
        <f>(VLOOKUP($B72,'OIA PHD_table'!$A$12:$R$129,5,FALSE)+(VLOOKUP($B72,'OIA PHD_table'!$A$12:$R$129,6,FALSE)))</f>
        <v>0</v>
      </c>
      <c r="O72" s="14">
        <f>M72-(N72*$T$1)</f>
        <v>7</v>
      </c>
      <c r="P72" s="10">
        <f t="shared" ref="P72" si="109">L72+O72</f>
        <v>8.9499999999999993</v>
      </c>
      <c r="Q72" s="12">
        <f t="shared" ref="Q72:Q106" si="110">AVERAGE(E72,L72)</f>
        <v>2.9750000000000001</v>
      </c>
      <c r="R72" s="2">
        <f>Q72*$B$129</f>
        <v>6591.5630611905199</v>
      </c>
      <c r="S72" s="2">
        <v>0</v>
      </c>
      <c r="T72" s="2">
        <f t="shared" ref="T72" si="111">R72-S72</f>
        <v>6591.5630611905199</v>
      </c>
      <c r="U72" s="12">
        <v>0.52732504489524201</v>
      </c>
      <c r="V72" s="135">
        <f t="shared" ref="V72" si="112">ROUNDDOWN(U72,0)</f>
        <v>0</v>
      </c>
      <c r="W72" s="136"/>
      <c r="X72" s="153">
        <f>T72/12500</f>
        <v>0.52732504489524157</v>
      </c>
      <c r="Y72" s="157">
        <f>ROUNDDOWN(X72,0)</f>
        <v>0</v>
      </c>
      <c r="Z72" s="156"/>
      <c r="AA72" s="12">
        <f>AVERAGE(H72,O72)</f>
        <v>5.4749999999999996</v>
      </c>
      <c r="AB72" s="2">
        <f>AA72*$B$120</f>
        <v>29279.734956705193</v>
      </c>
      <c r="AC72" s="2">
        <f>VLOOKUP(B72,'May UMGF Renewals'!$A$1:$E$67,3,FALSE)</f>
        <v>42000</v>
      </c>
      <c r="AD72" s="2">
        <f t="shared" ref="AD72" si="113">AB72-AC72</f>
        <v>-12720.265043294807</v>
      </c>
      <c r="AE72" s="12">
        <v>-0.84801766955298696</v>
      </c>
      <c r="AF72" s="141">
        <f t="shared" ref="AF72" si="114">ROUNDDOWN(AE72,0)</f>
        <v>0</v>
      </c>
      <c r="AG72" s="136"/>
      <c r="AH72" s="153">
        <f t="shared" ref="AH72" si="115">AD72/15000</f>
        <v>-0.84801766955298707</v>
      </c>
      <c r="AI72" s="157">
        <f t="shared" si="102"/>
        <v>0</v>
      </c>
      <c r="AJ72" s="156"/>
    </row>
    <row r="73" spans="1:36" s="5" customFormat="1" x14ac:dyDescent="0.25">
      <c r="B73" s="145" t="s">
        <v>17</v>
      </c>
      <c r="C73" s="146">
        <f>SUM(C72)</f>
        <v>4</v>
      </c>
      <c r="D73" s="146">
        <f t="shared" ref="D73:I73" si="116">SUM(D72)</f>
        <v>0</v>
      </c>
      <c r="E73" s="146">
        <f t="shared" si="116"/>
        <v>4</v>
      </c>
      <c r="F73" s="146">
        <f t="shared" si="116"/>
        <v>4</v>
      </c>
      <c r="G73" s="146">
        <f t="shared" si="116"/>
        <v>1</v>
      </c>
      <c r="H73" s="146">
        <f t="shared" si="116"/>
        <v>3.95</v>
      </c>
      <c r="I73" s="147">
        <f t="shared" si="116"/>
        <v>7.95</v>
      </c>
      <c r="J73" s="146">
        <f>SUM(J72)</f>
        <v>2</v>
      </c>
      <c r="K73" s="146">
        <f>SUM(K72)</f>
        <v>1</v>
      </c>
      <c r="L73" s="146">
        <f>SUM(L72)</f>
        <v>1.95</v>
      </c>
      <c r="M73" s="146">
        <f>SUM(M72)</f>
        <v>7</v>
      </c>
      <c r="N73" s="146">
        <f>SUM(N72)</f>
        <v>0</v>
      </c>
      <c r="O73" s="148">
        <f t="shared" ref="O73:P73" si="117">SUM(O72)</f>
        <v>7</v>
      </c>
      <c r="P73" s="147">
        <f t="shared" si="117"/>
        <v>8.9499999999999993</v>
      </c>
      <c r="Q73" s="148">
        <f t="shared" si="110"/>
        <v>2.9750000000000001</v>
      </c>
      <c r="R73" s="149">
        <f>SUM(R72)</f>
        <v>6591.5630611905199</v>
      </c>
      <c r="S73" s="149">
        <f>SUM(S72)</f>
        <v>0</v>
      </c>
      <c r="T73" s="149">
        <f>SUM(T72)</f>
        <v>6591.5630611905199</v>
      </c>
      <c r="U73" s="148">
        <f t="shared" ref="T73:V73" si="118">SUM(U72)</f>
        <v>0.52732504489524201</v>
      </c>
      <c r="V73" s="148">
        <f t="shared" si="118"/>
        <v>0</v>
      </c>
      <c r="W73" s="148">
        <f>ROUNDUP(U73,0)</f>
        <v>1</v>
      </c>
      <c r="X73" s="148">
        <f>SUM(X72)</f>
        <v>0.52732504489524157</v>
      </c>
      <c r="Y73" s="148">
        <f>SUM(Y72)</f>
        <v>0</v>
      </c>
      <c r="Z73" s="148">
        <f>ROUNDUP(X73,0)</f>
        <v>1</v>
      </c>
      <c r="AA73" s="148">
        <f>SUM(AA72)</f>
        <v>5.4749999999999996</v>
      </c>
      <c r="AB73" s="149">
        <f>SUM(AB72)</f>
        <v>29279.734956705193</v>
      </c>
      <c r="AC73" s="149">
        <f>SUM(AC72)</f>
        <v>42000</v>
      </c>
      <c r="AD73" s="149">
        <f>SUM(AD72)</f>
        <v>-12720.265043294807</v>
      </c>
      <c r="AE73" s="148">
        <f>SUM(AE72)</f>
        <v>-0.84801766955298696</v>
      </c>
      <c r="AF73" s="150">
        <f t="shared" ref="AF73" si="119">SUM(AF72)</f>
        <v>0</v>
      </c>
      <c r="AG73" s="148">
        <f>ROUND(AE73,0)</f>
        <v>-1</v>
      </c>
      <c r="AH73" s="148">
        <f>SUM(AH72)</f>
        <v>-0.84801766955298707</v>
      </c>
      <c r="AI73" s="148">
        <f>SUM(AI72)</f>
        <v>0</v>
      </c>
      <c r="AJ73" s="148">
        <f>ROUNDUP(AH73,0)</f>
        <v>-1</v>
      </c>
    </row>
    <row r="74" spans="1:36" x14ac:dyDescent="0.25">
      <c r="R74" s="2"/>
      <c r="W74" s="136"/>
      <c r="Y74" s="156"/>
      <c r="Z74" s="156"/>
      <c r="AA74" s="12"/>
      <c r="AC74" s="2"/>
      <c r="AD74" s="2"/>
      <c r="AE74" s="12"/>
      <c r="AG74" s="136"/>
      <c r="AH74" s="153"/>
      <c r="AI74" s="156"/>
      <c r="AJ74" s="156"/>
    </row>
    <row r="75" spans="1:36" x14ac:dyDescent="0.25">
      <c r="A75" s="139" t="s">
        <v>196</v>
      </c>
      <c r="B75" s="3" t="s">
        <v>55</v>
      </c>
      <c r="C75" s="120">
        <v>15</v>
      </c>
      <c r="D75" s="120">
        <v>15</v>
      </c>
      <c r="E75" s="121">
        <v>14.25</v>
      </c>
      <c r="F75" s="120">
        <v>7</v>
      </c>
      <c r="G75" s="120">
        <v>2</v>
      </c>
      <c r="H75" s="121">
        <v>6.9</v>
      </c>
      <c r="I75" s="123">
        <v>21.15</v>
      </c>
      <c r="J75" s="1">
        <f>((VLOOKUP(B75,'OIA Masters table'!A80:Q269,2,FALSE)+(VLOOKUP(B75,'OIA Masters table'!A80:Q269,4,FALSE))))</f>
        <v>17</v>
      </c>
      <c r="K75" s="81">
        <f>(VLOOKUP(Budget!$B75,'OIA Masters table'!A78:Q270,5,FALSE)+(VLOOKUP(Budget!$B75,'OIA Masters table'!A78:Q270,6,FALSE)))</f>
        <v>15</v>
      </c>
      <c r="L75" s="78">
        <f>J75-(K75*$T$1)</f>
        <v>16.25</v>
      </c>
      <c r="M75" s="81">
        <f>(VLOOKUP($B75,'OIA PHD_table'!$A$12:$R$129,2,FALSE)+(VLOOKUP($B75,'OIA PHD_table'!$A$12:$R$129,4,FALSE)))</f>
        <v>7</v>
      </c>
      <c r="N75" s="81">
        <f>(VLOOKUP($B75,'OIA PHD_table'!$A$12:$R$129,5,FALSE)+(VLOOKUP($B75,'OIA PHD_table'!$A$12:$R$129,6,FALSE)))</f>
        <v>5</v>
      </c>
      <c r="O75" s="14">
        <f>M75-(N75*$T$1)</f>
        <v>6.75</v>
      </c>
      <c r="P75" s="10">
        <f t="shared" ref="P75" si="120">L75+O75</f>
        <v>23</v>
      </c>
      <c r="Q75" s="12">
        <f t="shared" si="110"/>
        <v>15.25</v>
      </c>
      <c r="R75" s="2">
        <f>Q75*$B$129</f>
        <v>33788.68459937998</v>
      </c>
      <c r="S75" s="2">
        <v>0</v>
      </c>
      <c r="T75" s="2">
        <f t="shared" ref="T75" si="121">R75-S75</f>
        <v>33788.68459937998</v>
      </c>
      <c r="U75" s="12">
        <v>2.7030947679503998</v>
      </c>
      <c r="V75" s="135">
        <f t="shared" ref="V75" si="122">ROUNDDOWN(U75,0)</f>
        <v>2</v>
      </c>
      <c r="W75" s="136"/>
      <c r="X75" s="153">
        <f>T75/12500</f>
        <v>2.7030947679503985</v>
      </c>
      <c r="Y75" s="157">
        <f>ROUNDDOWN(X75,0)</f>
        <v>2</v>
      </c>
      <c r="Z75" s="156"/>
      <c r="AA75" s="12">
        <f>AVERAGE(H75,O75)</f>
        <v>6.8250000000000002</v>
      </c>
      <c r="AB75" s="2">
        <f>AA75*$B$120</f>
        <v>36499.395630961277</v>
      </c>
      <c r="AC75" s="2">
        <f>VLOOKUP(B75,'May UMGF Renewals'!$A$1:$E$67,3,FALSE)</f>
        <v>0</v>
      </c>
      <c r="AD75" s="2">
        <f t="shared" ref="AD75" si="123">AB75-AC75</f>
        <v>36499.395630961277</v>
      </c>
      <c r="AE75" s="12">
        <v>2.4332930420640899</v>
      </c>
      <c r="AF75" s="141">
        <f t="shared" ref="AF75" si="124">ROUNDDOWN(AE75,0)</f>
        <v>2</v>
      </c>
      <c r="AG75" s="136"/>
      <c r="AH75" s="153">
        <f t="shared" ref="AH75" si="125">AD75/15000</f>
        <v>2.433293042064085</v>
      </c>
      <c r="AI75" s="157">
        <f t="shared" ref="AI75" si="126">ROUNDDOWN(AH75,0)</f>
        <v>2</v>
      </c>
      <c r="AJ75" s="156"/>
    </row>
    <row r="76" spans="1:36" s="5" customFormat="1" x14ac:dyDescent="0.25">
      <c r="B76" s="145" t="s">
        <v>17</v>
      </c>
      <c r="C76" s="146">
        <f>SUM(C75)</f>
        <v>15</v>
      </c>
      <c r="D76" s="146">
        <f t="shared" ref="D76:P76" si="127">SUM(D75)</f>
        <v>15</v>
      </c>
      <c r="E76" s="146">
        <f t="shared" si="127"/>
        <v>14.25</v>
      </c>
      <c r="F76" s="146">
        <f t="shared" si="127"/>
        <v>7</v>
      </c>
      <c r="G76" s="146">
        <f t="shared" si="127"/>
        <v>2</v>
      </c>
      <c r="H76" s="146">
        <f t="shared" si="127"/>
        <v>6.9</v>
      </c>
      <c r="I76" s="147">
        <f t="shared" si="127"/>
        <v>21.15</v>
      </c>
      <c r="J76" s="146">
        <f t="shared" si="127"/>
        <v>17</v>
      </c>
      <c r="K76" s="146">
        <f t="shared" si="127"/>
        <v>15</v>
      </c>
      <c r="L76" s="146">
        <f t="shared" si="127"/>
        <v>16.25</v>
      </c>
      <c r="M76" s="146">
        <f t="shared" si="127"/>
        <v>7</v>
      </c>
      <c r="N76" s="146">
        <f t="shared" si="127"/>
        <v>5</v>
      </c>
      <c r="O76" s="146">
        <f t="shared" si="127"/>
        <v>6.75</v>
      </c>
      <c r="P76" s="147">
        <f t="shared" si="127"/>
        <v>23</v>
      </c>
      <c r="Q76" s="148">
        <f t="shared" si="110"/>
        <v>15.25</v>
      </c>
      <c r="R76" s="149">
        <f>SUM(R75)</f>
        <v>33788.68459937998</v>
      </c>
      <c r="S76" s="149">
        <f>SUM(S75)</f>
        <v>0</v>
      </c>
      <c r="T76" s="149">
        <f>SUM(T75)</f>
        <v>33788.68459937998</v>
      </c>
      <c r="U76" s="148">
        <f>SUM(U75)</f>
        <v>2.7030947679503998</v>
      </c>
      <c r="V76" s="148">
        <f>SUM(V75)</f>
        <v>2</v>
      </c>
      <c r="W76" s="148">
        <f>ROUNDUP(U76,0)</f>
        <v>3</v>
      </c>
      <c r="X76" s="148">
        <f>SUM(X75)</f>
        <v>2.7030947679503985</v>
      </c>
      <c r="Y76" s="148">
        <f>SUM(Y75)</f>
        <v>2</v>
      </c>
      <c r="Z76" s="148">
        <f>ROUNDUP(X76,0)</f>
        <v>3</v>
      </c>
      <c r="AA76" s="148">
        <f t="shared" ref="AA76:AF76" si="128">SUM(AA75)</f>
        <v>6.8250000000000002</v>
      </c>
      <c r="AB76" s="149">
        <f t="shared" si="128"/>
        <v>36499.395630961277</v>
      </c>
      <c r="AC76" s="149">
        <f t="shared" si="128"/>
        <v>0</v>
      </c>
      <c r="AD76" s="149">
        <f t="shared" si="128"/>
        <v>36499.395630961277</v>
      </c>
      <c r="AE76" s="148">
        <f>SUM(AE75)</f>
        <v>2.4332930420640899</v>
      </c>
      <c r="AF76" s="150">
        <f t="shared" si="128"/>
        <v>2</v>
      </c>
      <c r="AG76" s="148">
        <f>ROUND(AE76,0)</f>
        <v>2</v>
      </c>
      <c r="AH76" s="148">
        <f>SUM(AH75)</f>
        <v>2.433293042064085</v>
      </c>
      <c r="AI76" s="148">
        <f>SUM(AI75)</f>
        <v>2</v>
      </c>
      <c r="AJ76" s="148">
        <f>ROUNDUP(AH76,0)</f>
        <v>3</v>
      </c>
    </row>
    <row r="77" spans="1:36" x14ac:dyDescent="0.25">
      <c r="R77" s="2"/>
      <c r="W77" s="136"/>
      <c r="Y77" s="156"/>
      <c r="Z77" s="156"/>
      <c r="AA77" s="12"/>
      <c r="AC77" s="2"/>
      <c r="AD77" s="2"/>
      <c r="AE77" s="12"/>
      <c r="AG77" s="136"/>
      <c r="AH77" s="153"/>
      <c r="AI77" s="156"/>
      <c r="AJ77" s="156"/>
    </row>
    <row r="78" spans="1:36" x14ac:dyDescent="0.25">
      <c r="A78" s="139" t="s">
        <v>197</v>
      </c>
      <c r="B78" s="3" t="s">
        <v>56</v>
      </c>
      <c r="C78" s="120">
        <v>13</v>
      </c>
      <c r="D78" s="120">
        <v>2</v>
      </c>
      <c r="E78" s="121">
        <v>12.9</v>
      </c>
      <c r="F78" s="120">
        <v>7</v>
      </c>
      <c r="G78" s="120">
        <v>1</v>
      </c>
      <c r="H78" s="121">
        <v>6.95</v>
      </c>
      <c r="I78" s="123">
        <v>19.850000000000001</v>
      </c>
      <c r="J78" s="109">
        <v>16.425000000000001</v>
      </c>
      <c r="K78" s="81">
        <f>(VLOOKUP(Budget!$B78,'OIA Masters table'!A81:Q273,5,FALSE)+(VLOOKUP(Budget!$B78,'OIA Masters table'!A81:Q273,6,FALSE)))</f>
        <v>1</v>
      </c>
      <c r="L78" s="78">
        <f>J78-(K78*$T$1)</f>
        <v>16.375</v>
      </c>
      <c r="M78" s="81">
        <f>(VLOOKUP($B78,'OIA PHD_table'!$A$12:$R$129,2,FALSE)+(VLOOKUP($B78,'OIA PHD_table'!$A$12:$R$129,4,FALSE)))</f>
        <v>6</v>
      </c>
      <c r="N78" s="81">
        <f>(VLOOKUP($B78,'OIA PHD_table'!$A$12:$R$129,5,FALSE)+(VLOOKUP($B78,'OIA PHD_table'!$A$12:$R$129,6,FALSE)))</f>
        <v>3</v>
      </c>
      <c r="O78" s="14">
        <f>M78-(N78*$T$1)</f>
        <v>5.85</v>
      </c>
      <c r="P78" s="10">
        <f t="shared" ref="P78" si="129">L78+O78</f>
        <v>22.225000000000001</v>
      </c>
      <c r="Q78" s="12">
        <f t="shared" si="110"/>
        <v>14.637499999999999</v>
      </c>
      <c r="R78" s="2">
        <f>Q78*$B$129</f>
        <v>32431.598086781927</v>
      </c>
      <c r="S78" s="2">
        <v>0</v>
      </c>
      <c r="T78" s="2">
        <f t="shared" ref="T78" si="130">R78-S78</f>
        <v>32431.598086781927</v>
      </c>
      <c r="U78" s="12">
        <v>2.5945278469425501</v>
      </c>
      <c r="V78" s="135">
        <f t="shared" ref="V78" si="131">ROUNDDOWN(U78,0)</f>
        <v>2</v>
      </c>
      <c r="W78" s="136"/>
      <c r="X78" s="153">
        <f>T78/12500</f>
        <v>2.5945278469425541</v>
      </c>
      <c r="Y78" s="157">
        <f>ROUNDDOWN(X78,0)</f>
        <v>2</v>
      </c>
      <c r="Z78" s="156"/>
      <c r="AA78" s="12">
        <f>AVERAGE(H78,O78)</f>
        <v>6.4</v>
      </c>
      <c r="AB78" s="2">
        <f>AA78*$B$120</f>
        <v>34226.539492769545</v>
      </c>
      <c r="AC78" s="2">
        <f>VLOOKUP(B78,'May UMGF Renewals'!$A$1:$E$67,3,FALSE)</f>
        <v>36000</v>
      </c>
      <c r="AD78" s="2">
        <f t="shared" ref="AD78" si="132">AB78-AC78</f>
        <v>-1773.4605072304548</v>
      </c>
      <c r="AE78" s="12">
        <v>-0.11823070048202999</v>
      </c>
      <c r="AF78" s="141">
        <f t="shared" ref="AF78" si="133">ROUNDDOWN(AE78,0)</f>
        <v>0</v>
      </c>
      <c r="AG78" s="136"/>
      <c r="AH78" s="153">
        <f t="shared" ref="AH78" si="134">AD78/15000</f>
        <v>-0.11823070048203033</v>
      </c>
      <c r="AI78" s="157">
        <f t="shared" ref="AI78" si="135">ROUNDDOWN(AH78,0)</f>
        <v>0</v>
      </c>
      <c r="AJ78" s="156"/>
    </row>
    <row r="79" spans="1:36" s="5" customFormat="1" x14ac:dyDescent="0.25">
      <c r="B79" s="145" t="s">
        <v>17</v>
      </c>
      <c r="C79" s="146">
        <f>SUM(C78)</f>
        <v>13</v>
      </c>
      <c r="D79" s="146">
        <f t="shared" ref="D79:P79" si="136">SUM(D78)</f>
        <v>2</v>
      </c>
      <c r="E79" s="146">
        <f t="shared" si="136"/>
        <v>12.9</v>
      </c>
      <c r="F79" s="146">
        <f t="shared" si="136"/>
        <v>7</v>
      </c>
      <c r="G79" s="146">
        <f t="shared" si="136"/>
        <v>1</v>
      </c>
      <c r="H79" s="146">
        <f t="shared" si="136"/>
        <v>6.95</v>
      </c>
      <c r="I79" s="147">
        <f t="shared" si="136"/>
        <v>19.850000000000001</v>
      </c>
      <c r="J79" s="146">
        <f t="shared" si="136"/>
        <v>16.425000000000001</v>
      </c>
      <c r="K79" s="146">
        <f t="shared" si="136"/>
        <v>1</v>
      </c>
      <c r="L79" s="146">
        <f t="shared" si="136"/>
        <v>16.375</v>
      </c>
      <c r="M79" s="146">
        <f t="shared" si="136"/>
        <v>6</v>
      </c>
      <c r="N79" s="146">
        <f t="shared" si="136"/>
        <v>3</v>
      </c>
      <c r="O79" s="146">
        <f t="shared" si="136"/>
        <v>5.85</v>
      </c>
      <c r="P79" s="147">
        <f t="shared" si="136"/>
        <v>22.225000000000001</v>
      </c>
      <c r="Q79" s="148">
        <f t="shared" si="110"/>
        <v>14.637499999999999</v>
      </c>
      <c r="R79" s="149">
        <f>SUM(R78)</f>
        <v>32431.598086781927</v>
      </c>
      <c r="S79" s="149">
        <f>SUM(S78)</f>
        <v>0</v>
      </c>
      <c r="T79" s="149">
        <f>SUM(T78)</f>
        <v>32431.598086781927</v>
      </c>
      <c r="U79" s="148">
        <v>3.3</v>
      </c>
      <c r="V79" s="148">
        <v>3.3</v>
      </c>
      <c r="W79" s="148">
        <f>ROUNDUP(U79,0)</f>
        <v>4</v>
      </c>
      <c r="X79" s="148">
        <f>SUM(X78)</f>
        <v>2.5945278469425541</v>
      </c>
      <c r="Y79" s="148">
        <f>SUM(Y78)</f>
        <v>2</v>
      </c>
      <c r="Z79" s="148">
        <f>ROUNDUP(X79,0)</f>
        <v>3</v>
      </c>
      <c r="AA79" s="148">
        <f t="shared" ref="AA79:AF79" si="137">SUM(AA78)</f>
        <v>6.4</v>
      </c>
      <c r="AB79" s="149">
        <f t="shared" si="137"/>
        <v>34226.539492769545</v>
      </c>
      <c r="AC79" s="149">
        <f t="shared" si="137"/>
        <v>36000</v>
      </c>
      <c r="AD79" s="149">
        <f t="shared" si="137"/>
        <v>-1773.4605072304548</v>
      </c>
      <c r="AE79" s="148">
        <f t="shared" si="137"/>
        <v>-0.11823070048202999</v>
      </c>
      <c r="AF79" s="150">
        <f t="shared" si="137"/>
        <v>0</v>
      </c>
      <c r="AG79" s="148">
        <f>ROUND(AE79,0)</f>
        <v>0</v>
      </c>
      <c r="AH79" s="148">
        <f>SUM(AH78)</f>
        <v>-0.11823070048203033</v>
      </c>
      <c r="AI79" s="148">
        <f>SUM(AI78)</f>
        <v>0</v>
      </c>
      <c r="AJ79" s="148">
        <f>ROUNDUP(AH79,0)</f>
        <v>-1</v>
      </c>
    </row>
    <row r="80" spans="1:36" x14ac:dyDescent="0.25">
      <c r="R80" s="2"/>
      <c r="W80" s="136"/>
      <c r="Y80" s="156"/>
      <c r="Z80" s="156"/>
      <c r="AA80" s="12"/>
      <c r="AC80" s="2"/>
      <c r="AD80" s="2"/>
      <c r="AE80" s="12"/>
      <c r="AG80" s="136"/>
      <c r="AH80" s="153"/>
      <c r="AI80" s="156"/>
      <c r="AJ80" s="156"/>
    </row>
    <row r="81" spans="1:36" ht="14.4" x14ac:dyDescent="0.3">
      <c r="A81" s="139" t="s">
        <v>57</v>
      </c>
      <c r="B81" s="3" t="s">
        <v>58</v>
      </c>
      <c r="C81" s="120">
        <v>10</v>
      </c>
      <c r="D81" s="120">
        <v>6</v>
      </c>
      <c r="E81" s="121">
        <v>9.6999999999999993</v>
      </c>
      <c r="F81" s="118"/>
      <c r="G81" s="118"/>
      <c r="H81" s="122"/>
      <c r="I81" s="123">
        <v>9.6999999999999993</v>
      </c>
      <c r="J81" s="1">
        <f>((VLOOKUP(B81,'OIA Masters table'!A86:Q275,2,FALSE)+(VLOOKUP(B81,'OIA Masters table'!A86:Q275,4,FALSE))))</f>
        <v>9</v>
      </c>
      <c r="K81" s="81">
        <f>(VLOOKUP(Budget!$B81,'OIA Masters table'!A84:Q276,5,FALSE)+(VLOOKUP(Budget!$B81,'OIA Masters table'!A84:Q276,6,FALSE)))</f>
        <v>4</v>
      </c>
      <c r="L81" s="78">
        <f>J81-(K81*$T$1)</f>
        <v>8.8000000000000007</v>
      </c>
      <c r="P81" s="10">
        <f t="shared" ref="P81:P83" si="138">L81+O81</f>
        <v>8.8000000000000007</v>
      </c>
      <c r="Q81" s="12">
        <f t="shared" si="110"/>
        <v>9.25</v>
      </c>
      <c r="R81" s="2">
        <f>Q81*$B$129</f>
        <v>20494.775904541952</v>
      </c>
      <c r="S81" s="2">
        <f>VLOOKUP(B81, 'May MGS Renewals'!$A$3:$D$47,2,FALSE)</f>
        <v>5000</v>
      </c>
      <c r="T81" s="2">
        <f t="shared" ref="T81:T83" si="139">R81-S81</f>
        <v>15494.775904541952</v>
      </c>
      <c r="U81" s="12">
        <v>1.2395820723633599</v>
      </c>
      <c r="V81" s="135">
        <f t="shared" ref="V81:V83" si="140">ROUNDDOWN(U81,0)</f>
        <v>1</v>
      </c>
      <c r="W81" s="136"/>
      <c r="X81" s="153">
        <f>T81/12500</f>
        <v>1.2395820723633562</v>
      </c>
      <c r="Y81" s="157">
        <f>ROUNDDOWN(X81,0)</f>
        <v>1</v>
      </c>
      <c r="Z81" s="156"/>
      <c r="AA81" s="12"/>
      <c r="AC81" s="2"/>
      <c r="AD81" s="2"/>
      <c r="AE81" s="12"/>
      <c r="AG81" s="136"/>
      <c r="AH81" s="153"/>
      <c r="AI81" s="156"/>
      <c r="AJ81" s="156"/>
    </row>
    <row r="82" spans="1:36" ht="14.4" x14ac:dyDescent="0.3">
      <c r="A82" s="139" t="s">
        <v>59</v>
      </c>
      <c r="B82" s="3" t="s">
        <v>60</v>
      </c>
      <c r="C82" s="120">
        <v>100</v>
      </c>
      <c r="D82" s="120">
        <v>3</v>
      </c>
      <c r="E82" s="121">
        <v>99.85</v>
      </c>
      <c r="F82" s="118"/>
      <c r="G82" s="118"/>
      <c r="H82" s="122"/>
      <c r="I82" s="123">
        <v>99.85</v>
      </c>
      <c r="J82" s="1">
        <f>((VLOOKUP(B82,'OIA Masters table'!A87:Q276,2,FALSE)+(VLOOKUP(B82,'OIA Masters table'!A87:Q276,4,FALSE))))</f>
        <v>98</v>
      </c>
      <c r="K82" s="81">
        <f>(VLOOKUP(Budget!$B82,'OIA Masters table'!A85:Q277,5,FALSE)+(VLOOKUP(Budget!$B82,'OIA Masters table'!A85:Q277,6,FALSE)))</f>
        <v>5</v>
      </c>
      <c r="L82" s="78">
        <f>J82-(K82*$T$1)</f>
        <v>97.75</v>
      </c>
      <c r="P82" s="10">
        <f t="shared" si="138"/>
        <v>97.75</v>
      </c>
      <c r="Q82" s="12">
        <f t="shared" si="110"/>
        <v>98.8</v>
      </c>
      <c r="R82" s="2">
        <f>Q82*$B$129</f>
        <v>218906.36317499945</v>
      </c>
      <c r="S82" s="2">
        <v>0</v>
      </c>
      <c r="T82" s="2">
        <f t="shared" si="139"/>
        <v>218906.36317499945</v>
      </c>
      <c r="U82" s="12">
        <v>2</v>
      </c>
      <c r="V82" s="135">
        <f t="shared" si="140"/>
        <v>2</v>
      </c>
      <c r="W82" s="136"/>
      <c r="X82" s="12">
        <v>2</v>
      </c>
      <c r="Y82" s="157">
        <v>2</v>
      </c>
      <c r="Z82" s="156"/>
      <c r="AA82" s="12"/>
      <c r="AC82" s="2"/>
      <c r="AD82" s="2"/>
      <c r="AE82" s="12"/>
      <c r="AG82" s="136"/>
      <c r="AH82" s="153"/>
      <c r="AI82" s="156"/>
      <c r="AJ82" s="156"/>
    </row>
    <row r="83" spans="1:36" ht="14.4" x14ac:dyDescent="0.3">
      <c r="A83" s="139" t="s">
        <v>61</v>
      </c>
      <c r="B83" s="3" t="s">
        <v>62</v>
      </c>
      <c r="C83" s="120">
        <v>98</v>
      </c>
      <c r="D83" s="120">
        <v>2</v>
      </c>
      <c r="E83" s="121">
        <v>97.9</v>
      </c>
      <c r="F83" s="118"/>
      <c r="G83" s="118"/>
      <c r="H83" s="122"/>
      <c r="I83" s="123">
        <v>97.9</v>
      </c>
      <c r="J83" s="1">
        <f>((VLOOKUP(B83,'OIA Masters table'!A88:Q277,2,FALSE)+(VLOOKUP(B83,'OIA Masters table'!A88:Q277,4,FALSE))))</f>
        <v>99</v>
      </c>
      <c r="K83" s="81">
        <f>(VLOOKUP(Budget!$B83,'OIA Masters table'!A86:Q278,5,FALSE)+(VLOOKUP(Budget!$B83,'OIA Masters table'!A86:Q278,6,FALSE)))</f>
        <v>0</v>
      </c>
      <c r="L83" s="78">
        <f>J83-(K83*$T$1)</f>
        <v>99</v>
      </c>
      <c r="P83" s="10">
        <f t="shared" si="138"/>
        <v>99</v>
      </c>
      <c r="Q83" s="12">
        <f t="shared" si="110"/>
        <v>98.45</v>
      </c>
      <c r="R83" s="2">
        <f>Q83*$B$129</f>
        <v>218130.88516780059</v>
      </c>
      <c r="S83" s="2">
        <f>VLOOKUP(B83, 'May MGS Renewals'!$A$3:$D$47,2,FALSE)</f>
        <v>55000</v>
      </c>
      <c r="T83" s="2">
        <f t="shared" si="139"/>
        <v>163130.88516780059</v>
      </c>
      <c r="U83" s="12">
        <v>2</v>
      </c>
      <c r="V83" s="135">
        <f t="shared" si="140"/>
        <v>2</v>
      </c>
      <c r="W83" s="136"/>
      <c r="X83" s="153">
        <f>ROUNDDOWN(X82,0)</f>
        <v>2</v>
      </c>
      <c r="Y83" s="157">
        <f>ROUNDDOWN(Y82,0)</f>
        <v>2</v>
      </c>
      <c r="Z83" s="156"/>
      <c r="AA83" s="12"/>
      <c r="AC83" s="2"/>
      <c r="AD83" s="2"/>
      <c r="AE83" s="12"/>
      <c r="AG83" s="136"/>
      <c r="AH83" s="153"/>
      <c r="AI83" s="156"/>
      <c r="AJ83" s="156"/>
    </row>
    <row r="84" spans="1:36" s="5" customFormat="1" x14ac:dyDescent="0.25">
      <c r="B84" s="145" t="s">
        <v>17</v>
      </c>
      <c r="C84" s="146">
        <f>SUM(C81:C83)</f>
        <v>208</v>
      </c>
      <c r="D84" s="146">
        <f t="shared" ref="D84:I84" si="141">SUM(D81:D83)</f>
        <v>11</v>
      </c>
      <c r="E84" s="146">
        <f t="shared" si="141"/>
        <v>207.45</v>
      </c>
      <c r="F84" s="146"/>
      <c r="G84" s="146"/>
      <c r="H84" s="146"/>
      <c r="I84" s="147">
        <f t="shared" si="141"/>
        <v>207.45</v>
      </c>
      <c r="J84" s="146">
        <f>SUM(J81:J83)</f>
        <v>206</v>
      </c>
      <c r="K84" s="146">
        <f>SUM(K81:K83)</f>
        <v>9</v>
      </c>
      <c r="L84" s="146">
        <f>SUM(L81:L83)</f>
        <v>205.55</v>
      </c>
      <c r="M84" s="146">
        <f t="shared" ref="M84:P84" si="142">SUM(M81:M83)</f>
        <v>0</v>
      </c>
      <c r="N84" s="146">
        <f t="shared" si="142"/>
        <v>0</v>
      </c>
      <c r="O84" s="148">
        <f t="shared" si="142"/>
        <v>0</v>
      </c>
      <c r="P84" s="147">
        <f t="shared" si="142"/>
        <v>205.55</v>
      </c>
      <c r="Q84" s="148">
        <f t="shared" si="110"/>
        <v>206.5</v>
      </c>
      <c r="R84" s="149">
        <f>SUM(R81:R83)</f>
        <v>457532.02424734202</v>
      </c>
      <c r="S84" s="149">
        <f>SUM(S81:S83)</f>
        <v>60000</v>
      </c>
      <c r="T84" s="149">
        <f>SUM(T81:T83)</f>
        <v>397532.02424734202</v>
      </c>
      <c r="U84" s="148">
        <f t="shared" ref="T84:Y84" si="143">SUM(U81:U83)</f>
        <v>5.2395820723633602</v>
      </c>
      <c r="V84" s="148">
        <f t="shared" si="143"/>
        <v>5</v>
      </c>
      <c r="W84" s="148">
        <f>ROUNDUP(U84,0)</f>
        <v>6</v>
      </c>
      <c r="X84" s="148">
        <f t="shared" si="143"/>
        <v>5.2395820723633566</v>
      </c>
      <c r="Y84" s="148">
        <f t="shared" si="143"/>
        <v>5</v>
      </c>
      <c r="Z84" s="148">
        <f>ROUNDUP(X84,0)</f>
        <v>6</v>
      </c>
      <c r="AA84" s="148"/>
      <c r="AB84" s="149"/>
      <c r="AC84" s="149"/>
      <c r="AD84" s="149"/>
      <c r="AE84" s="148"/>
      <c r="AF84" s="150"/>
      <c r="AG84" s="148"/>
      <c r="AH84" s="148"/>
      <c r="AI84" s="148"/>
      <c r="AJ84" s="148"/>
    </row>
    <row r="85" spans="1:36" x14ac:dyDescent="0.25">
      <c r="R85" s="2"/>
      <c r="W85" s="136"/>
      <c r="Y85" s="156"/>
      <c r="Z85" s="156"/>
      <c r="AA85" s="12"/>
      <c r="AC85" s="2"/>
      <c r="AD85" s="2"/>
      <c r="AE85" s="12"/>
      <c r="AG85" s="136"/>
      <c r="AH85" s="153"/>
      <c r="AI85" s="156"/>
      <c r="AJ85" s="156"/>
    </row>
    <row r="86" spans="1:36" x14ac:dyDescent="0.25">
      <c r="R86" s="2"/>
      <c r="W86" s="136"/>
      <c r="Y86" s="156"/>
      <c r="Z86" s="156"/>
      <c r="AA86" s="12"/>
      <c r="AC86" s="2"/>
      <c r="AD86" s="2"/>
      <c r="AE86" s="12"/>
      <c r="AG86" s="136"/>
      <c r="AH86" s="153"/>
      <c r="AI86" s="156"/>
      <c r="AJ86" s="156"/>
    </row>
    <row r="87" spans="1:36" ht="14.4" x14ac:dyDescent="0.3">
      <c r="A87" s="139" t="s">
        <v>65</v>
      </c>
      <c r="B87" s="3" t="s">
        <v>66</v>
      </c>
      <c r="C87" s="120">
        <v>30</v>
      </c>
      <c r="D87" s="120">
        <v>13</v>
      </c>
      <c r="E87" s="121">
        <v>29.35</v>
      </c>
      <c r="F87" s="118"/>
      <c r="G87" s="118"/>
      <c r="H87" s="122"/>
      <c r="I87" s="123">
        <v>29.35</v>
      </c>
      <c r="J87" s="1">
        <f>((VLOOKUP(B87,'OIA Masters table'!A95:Q284,2,FALSE)+(VLOOKUP(B87,'OIA Masters table'!A95:Q284,4,FALSE))))</f>
        <v>30</v>
      </c>
      <c r="K87" s="81">
        <f>(VLOOKUP(Budget!$B87,'OIA Masters table'!A90:Q282,5,FALSE)+(VLOOKUP(Budget!$B87,'OIA Masters table'!A90:Q282,6,FALSE)))</f>
        <v>8</v>
      </c>
      <c r="L87" s="78">
        <f>J87-(K87*$T$1)</f>
        <v>29.6</v>
      </c>
      <c r="P87" s="10">
        <f t="shared" ref="P87" si="144">L87+O87</f>
        <v>29.6</v>
      </c>
      <c r="Q87" s="12">
        <f t="shared" si="110"/>
        <v>29.475000000000001</v>
      </c>
      <c r="R87" s="2">
        <f>Q87*$B$129</f>
        <v>65306.326463391793</v>
      </c>
      <c r="S87" s="2">
        <f>VLOOKUP(B87, 'May MGS Renewals'!$A$3:$D$47,2,FALSE)</f>
        <v>20000</v>
      </c>
      <c r="T87" s="2">
        <f t="shared" ref="T87" si="145">R87-S87</f>
        <v>45306.326463391793</v>
      </c>
      <c r="U87" s="12">
        <v>2.8245061170713401</v>
      </c>
      <c r="V87" s="135">
        <f t="shared" ref="V87" si="146">ROUNDDOWN(U87,0)</f>
        <v>2</v>
      </c>
      <c r="W87" s="136"/>
      <c r="X87" s="153">
        <f>T87/12500</f>
        <v>3.6245061170713435</v>
      </c>
      <c r="Y87" s="157">
        <f>ROUNDDOWN(X87,0)</f>
        <v>3</v>
      </c>
      <c r="Z87" s="156"/>
      <c r="AA87" s="12"/>
      <c r="AC87" s="2"/>
      <c r="AD87" s="2"/>
      <c r="AE87" s="12"/>
      <c r="AG87" s="136"/>
      <c r="AH87" s="153"/>
      <c r="AI87" s="156"/>
      <c r="AJ87" s="156"/>
    </row>
    <row r="88" spans="1:36" s="5" customFormat="1" x14ac:dyDescent="0.25">
      <c r="B88" s="145" t="s">
        <v>17</v>
      </c>
      <c r="C88" s="146">
        <f>SUM(C87)</f>
        <v>30</v>
      </c>
      <c r="D88" s="146">
        <f t="shared" ref="D88:I88" si="147">SUM(D87)</f>
        <v>13</v>
      </c>
      <c r="E88" s="146">
        <f t="shared" si="147"/>
        <v>29.35</v>
      </c>
      <c r="F88" s="146"/>
      <c r="G88" s="146"/>
      <c r="H88" s="146"/>
      <c r="I88" s="147">
        <f t="shared" si="147"/>
        <v>29.35</v>
      </c>
      <c r="J88" s="146">
        <f>SUM(J87)</f>
        <v>30</v>
      </c>
      <c r="K88" s="146">
        <f>SUM(K87)</f>
        <v>8</v>
      </c>
      <c r="L88" s="146">
        <f>SUM(L87)</f>
        <v>29.6</v>
      </c>
      <c r="M88" s="146">
        <f t="shared" ref="M88:P88" si="148">SUM(M87)</f>
        <v>0</v>
      </c>
      <c r="N88" s="146">
        <f t="shared" si="148"/>
        <v>0</v>
      </c>
      <c r="O88" s="148">
        <f t="shared" si="148"/>
        <v>0</v>
      </c>
      <c r="P88" s="147">
        <f t="shared" si="148"/>
        <v>29.6</v>
      </c>
      <c r="Q88" s="148">
        <f t="shared" si="110"/>
        <v>29.475000000000001</v>
      </c>
      <c r="R88" s="149">
        <f>SUM(R87)</f>
        <v>65306.326463391793</v>
      </c>
      <c r="S88" s="149">
        <f t="shared" ref="S88:V88" si="149">SUM(S87)</f>
        <v>20000</v>
      </c>
      <c r="T88" s="149">
        <f t="shared" si="149"/>
        <v>45306.326463391793</v>
      </c>
      <c r="U88" s="148">
        <f t="shared" si="149"/>
        <v>2.8245061170713401</v>
      </c>
      <c r="V88" s="148">
        <f t="shared" si="149"/>
        <v>2</v>
      </c>
      <c r="W88" s="148">
        <f>ROUNDUP(U88,0)</f>
        <v>3</v>
      </c>
      <c r="X88" s="148">
        <f>SUM(X87)</f>
        <v>3.6245061170713435</v>
      </c>
      <c r="Y88" s="148">
        <f>SUM(Y87)</f>
        <v>3</v>
      </c>
      <c r="Z88" s="148">
        <f>ROUNDUP(X88,0)</f>
        <v>4</v>
      </c>
      <c r="AA88" s="148"/>
      <c r="AB88" s="149"/>
      <c r="AC88" s="149"/>
      <c r="AD88" s="149"/>
      <c r="AE88" s="148"/>
      <c r="AF88" s="150"/>
      <c r="AG88" s="148"/>
      <c r="AH88" s="148"/>
      <c r="AI88" s="148"/>
      <c r="AJ88" s="148"/>
    </row>
    <row r="89" spans="1:36" x14ac:dyDescent="0.25">
      <c r="R89" s="2"/>
      <c r="W89" s="136"/>
      <c r="Y89" s="156"/>
      <c r="Z89" s="156"/>
      <c r="AA89" s="12"/>
      <c r="AC89" s="2"/>
      <c r="AD89" s="2"/>
      <c r="AE89" s="12"/>
      <c r="AG89" s="136"/>
      <c r="AH89" s="153"/>
      <c r="AI89" s="156"/>
      <c r="AJ89" s="156"/>
    </row>
    <row r="90" spans="1:36" ht="14.4" x14ac:dyDescent="0.3">
      <c r="A90" s="139" t="s">
        <v>67</v>
      </c>
      <c r="B90" s="3" t="s">
        <v>67</v>
      </c>
      <c r="C90" s="120">
        <v>8</v>
      </c>
      <c r="D90" s="120">
        <v>0</v>
      </c>
      <c r="E90" s="121">
        <v>8</v>
      </c>
      <c r="F90" s="118"/>
      <c r="G90" s="118"/>
      <c r="H90" s="122"/>
      <c r="I90" s="123">
        <v>8</v>
      </c>
      <c r="J90" s="1">
        <f>((VLOOKUP(B90,'OIA Masters table'!A98:Q287,2,FALSE)+(VLOOKUP(B90,'OIA Masters table'!A98:Q287,4,FALSE))))</f>
        <v>6</v>
      </c>
      <c r="K90" s="81">
        <f>(VLOOKUP(Budget!$B90,'OIA Masters table'!A93:Q285,5,FALSE)+(VLOOKUP(Budget!$B90,'OIA Masters table'!A93:Q285,6,FALSE)))</f>
        <v>2</v>
      </c>
      <c r="L90" s="78">
        <f>J90-(K90*$T$1)</f>
        <v>5.9</v>
      </c>
      <c r="P90" s="10">
        <f t="shared" ref="P90" si="150">L90+O90</f>
        <v>5.9</v>
      </c>
      <c r="Q90" s="12">
        <f t="shared" si="110"/>
        <v>6.95</v>
      </c>
      <c r="R90" s="2">
        <f>Q90*$B$129</f>
        <v>15398.777571520712</v>
      </c>
      <c r="S90" s="2">
        <f>VLOOKUP(B90, 'May MGS Renewals'!$A$3:$D$47,2,FALSE)</f>
        <v>15000</v>
      </c>
      <c r="T90" s="2">
        <f t="shared" ref="T90" si="151">R90-S90</f>
        <v>398.77757152071172</v>
      </c>
      <c r="U90" s="12">
        <v>3.1902205721656897E-2</v>
      </c>
      <c r="V90" s="135">
        <f t="shared" ref="V90" si="152">ROUNDDOWN(U90,0)</f>
        <v>0</v>
      </c>
      <c r="W90" s="136"/>
      <c r="X90" s="153">
        <f>T90/12500</f>
        <v>3.1902205721656939E-2</v>
      </c>
      <c r="Y90" s="157">
        <f>ROUNDDOWN(X90,0)</f>
        <v>0</v>
      </c>
      <c r="Z90" s="156"/>
      <c r="AA90" s="12"/>
      <c r="AC90" s="2"/>
      <c r="AD90" s="2"/>
      <c r="AE90" s="12"/>
      <c r="AG90" s="136"/>
      <c r="AH90" s="153"/>
      <c r="AI90" s="156"/>
      <c r="AJ90" s="156"/>
    </row>
    <row r="91" spans="1:36" s="5" customFormat="1" x14ac:dyDescent="0.25">
      <c r="B91" s="145" t="s">
        <v>17</v>
      </c>
      <c r="C91" s="146">
        <f>SUM(C90)</f>
        <v>8</v>
      </c>
      <c r="D91" s="146">
        <f t="shared" ref="D91:I91" si="153">SUM(D90)</f>
        <v>0</v>
      </c>
      <c r="E91" s="146">
        <f t="shared" si="153"/>
        <v>8</v>
      </c>
      <c r="F91" s="146"/>
      <c r="G91" s="146"/>
      <c r="H91" s="146"/>
      <c r="I91" s="147">
        <f t="shared" si="153"/>
        <v>8</v>
      </c>
      <c r="J91" s="146">
        <f>SUM(J90)</f>
        <v>6</v>
      </c>
      <c r="K91" s="146">
        <f>SUM(K90)</f>
        <v>2</v>
      </c>
      <c r="L91" s="146">
        <f t="shared" ref="L91:P91" si="154">SUM(L90)</f>
        <v>5.9</v>
      </c>
      <c r="M91" s="146">
        <f t="shared" si="154"/>
        <v>0</v>
      </c>
      <c r="N91" s="146">
        <f t="shared" si="154"/>
        <v>0</v>
      </c>
      <c r="O91" s="148">
        <f t="shared" si="154"/>
        <v>0</v>
      </c>
      <c r="P91" s="147">
        <f t="shared" si="154"/>
        <v>5.9</v>
      </c>
      <c r="Q91" s="148">
        <f t="shared" si="110"/>
        <v>6.95</v>
      </c>
      <c r="R91" s="149">
        <f>SUM(R90)</f>
        <v>15398.777571520712</v>
      </c>
      <c r="S91" s="149">
        <f>SUM(S90)</f>
        <v>15000</v>
      </c>
      <c r="T91" s="149">
        <f t="shared" ref="T91:V91" si="155">SUM(T90)</f>
        <v>398.77757152071172</v>
      </c>
      <c r="U91" s="148">
        <v>3.1902205721656897E-2</v>
      </c>
      <c r="V91" s="148">
        <f t="shared" si="155"/>
        <v>0</v>
      </c>
      <c r="W91" s="148">
        <f>ROUNDUP(U91,0)</f>
        <v>1</v>
      </c>
      <c r="X91" s="148">
        <f>SUM(X90)</f>
        <v>3.1902205721656939E-2</v>
      </c>
      <c r="Y91" s="148">
        <f>SUM(Y90)</f>
        <v>0</v>
      </c>
      <c r="Z91" s="148">
        <f>ROUNDUP(X91,0)</f>
        <v>1</v>
      </c>
      <c r="AA91" s="148"/>
      <c r="AB91" s="149"/>
      <c r="AC91" s="149"/>
      <c r="AD91" s="149"/>
      <c r="AE91" s="148"/>
      <c r="AF91" s="150"/>
      <c r="AG91" s="148"/>
      <c r="AH91" s="148"/>
      <c r="AI91" s="148"/>
      <c r="AJ91" s="148"/>
    </row>
    <row r="92" spans="1:36" x14ac:dyDescent="0.25">
      <c r="R92" s="2"/>
      <c r="W92" s="136"/>
      <c r="Y92" s="156"/>
      <c r="Z92" s="156"/>
      <c r="AA92" s="12"/>
      <c r="AC92" s="2"/>
      <c r="AD92" s="2"/>
      <c r="AE92" s="12"/>
      <c r="AG92" s="136"/>
      <c r="AH92" s="153"/>
      <c r="AI92" s="156"/>
      <c r="AJ92" s="156"/>
    </row>
    <row r="93" spans="1:36" ht="14.4" x14ac:dyDescent="0.3">
      <c r="A93" s="139" t="s">
        <v>68</v>
      </c>
      <c r="B93" s="3" t="s">
        <v>69</v>
      </c>
      <c r="C93" s="120">
        <v>13</v>
      </c>
      <c r="D93" s="120">
        <v>1</v>
      </c>
      <c r="E93" s="121">
        <v>12.95</v>
      </c>
      <c r="F93" s="118"/>
      <c r="G93" s="118"/>
      <c r="H93" s="122"/>
      <c r="I93" s="123">
        <v>12.95</v>
      </c>
      <c r="J93" s="1">
        <f>((VLOOKUP(B93,'OIA Masters table'!A101:Q290,2,FALSE)+(VLOOKUP(B93,'OIA Masters table'!A101:Q290,4,FALSE))))</f>
        <v>15</v>
      </c>
      <c r="K93" s="81">
        <f>(VLOOKUP(Budget!$B93,'OIA Masters table'!A96:Q288,5,FALSE)+(VLOOKUP(Budget!$B93,'OIA Masters table'!A96:Q288,6,FALSE)))</f>
        <v>3</v>
      </c>
      <c r="L93" s="78">
        <f>J93-(K93*$T$1)</f>
        <v>14.85</v>
      </c>
      <c r="P93" s="10">
        <f t="shared" ref="P93" si="156">L93+O93</f>
        <v>14.85</v>
      </c>
      <c r="Q93" s="12">
        <f t="shared" si="110"/>
        <v>13.899999999999999</v>
      </c>
      <c r="R93" s="2">
        <f>Q93*$B$129</f>
        <v>30797.55514304142</v>
      </c>
      <c r="S93" s="2">
        <f>VLOOKUP(B93, 'May MGS Renewals'!$A$3:$D$47,2,FALSE)</f>
        <v>35000</v>
      </c>
      <c r="T93" s="2">
        <f t="shared" ref="T93" si="157">R93-S93</f>
        <v>-4202.4448569585802</v>
      </c>
      <c r="U93" s="12">
        <v>-0.33619558855668602</v>
      </c>
      <c r="V93" s="135">
        <f t="shared" ref="V93" si="158">ROUNDDOWN(U93,0)</f>
        <v>0</v>
      </c>
      <c r="W93" s="136"/>
      <c r="X93" s="153">
        <f>T93/12500</f>
        <v>-0.33619558855668641</v>
      </c>
      <c r="Y93" s="157">
        <f>ROUNDDOWN(X93,0)</f>
        <v>0</v>
      </c>
      <c r="Z93" s="156"/>
      <c r="AA93" s="12"/>
      <c r="AC93" s="2"/>
      <c r="AD93" s="2"/>
      <c r="AE93" s="12"/>
      <c r="AG93" s="136"/>
      <c r="AH93" s="153"/>
      <c r="AI93" s="156"/>
      <c r="AJ93" s="156"/>
    </row>
    <row r="94" spans="1:36" s="5" customFormat="1" x14ac:dyDescent="0.25">
      <c r="B94" s="145" t="s">
        <v>17</v>
      </c>
      <c r="C94" s="146">
        <f>SUM(C93)</f>
        <v>13</v>
      </c>
      <c r="D94" s="146">
        <f t="shared" ref="D94:I94" si="159">SUM(D93)</f>
        <v>1</v>
      </c>
      <c r="E94" s="146">
        <f t="shared" si="159"/>
        <v>12.95</v>
      </c>
      <c r="F94" s="146"/>
      <c r="G94" s="146"/>
      <c r="H94" s="146"/>
      <c r="I94" s="147">
        <f t="shared" si="159"/>
        <v>12.95</v>
      </c>
      <c r="J94" s="146">
        <f>SUM(J93)</f>
        <v>15</v>
      </c>
      <c r="K94" s="146">
        <f>SUM(K93)</f>
        <v>3</v>
      </c>
      <c r="L94" s="146">
        <f t="shared" ref="L94:P94" si="160">SUM(L93)</f>
        <v>14.85</v>
      </c>
      <c r="M94" s="146">
        <f t="shared" si="160"/>
        <v>0</v>
      </c>
      <c r="N94" s="146">
        <f t="shared" si="160"/>
        <v>0</v>
      </c>
      <c r="O94" s="148">
        <f t="shared" si="160"/>
        <v>0</v>
      </c>
      <c r="P94" s="147">
        <f t="shared" si="160"/>
        <v>14.85</v>
      </c>
      <c r="Q94" s="148">
        <f t="shared" si="110"/>
        <v>13.899999999999999</v>
      </c>
      <c r="R94" s="149">
        <f>SUM(R93)</f>
        <v>30797.55514304142</v>
      </c>
      <c r="S94" s="149">
        <f>SUM(S93)</f>
        <v>35000</v>
      </c>
      <c r="T94" s="149">
        <f t="shared" ref="T94:V94" si="161">SUM(T93)</f>
        <v>-4202.4448569585802</v>
      </c>
      <c r="U94" s="148">
        <f t="shared" si="161"/>
        <v>-0.33619558855668602</v>
      </c>
      <c r="V94" s="148">
        <f t="shared" si="161"/>
        <v>0</v>
      </c>
      <c r="W94" s="148">
        <f>ROUNDUP(U94,0)</f>
        <v>-1</v>
      </c>
      <c r="X94" s="148">
        <f>SUM(X93)</f>
        <v>-0.33619558855668641</v>
      </c>
      <c r="Y94" s="148">
        <f>SUM(Y93)</f>
        <v>0</v>
      </c>
      <c r="Z94" s="148">
        <f>ROUNDUP(X94,0)</f>
        <v>-1</v>
      </c>
      <c r="AA94" s="148"/>
      <c r="AB94" s="149"/>
      <c r="AC94" s="149"/>
      <c r="AD94" s="149"/>
      <c r="AE94" s="148"/>
      <c r="AF94" s="150"/>
      <c r="AG94" s="148"/>
      <c r="AH94" s="148"/>
      <c r="AI94" s="148"/>
      <c r="AJ94" s="148"/>
    </row>
    <row r="95" spans="1:36" x14ac:dyDescent="0.25">
      <c r="R95" s="2"/>
      <c r="W95" s="136"/>
      <c r="Y95" s="156"/>
      <c r="Z95" s="156"/>
      <c r="AA95" s="12"/>
      <c r="AC95" s="2"/>
      <c r="AD95" s="2"/>
      <c r="AE95" s="12"/>
      <c r="AG95" s="136"/>
      <c r="AH95" s="153"/>
      <c r="AI95" s="156"/>
      <c r="AJ95" s="156"/>
    </row>
    <row r="96" spans="1:36" x14ac:dyDescent="0.25">
      <c r="A96" s="139" t="s">
        <v>70</v>
      </c>
      <c r="B96" s="3" t="s">
        <v>71</v>
      </c>
      <c r="C96" s="120">
        <v>33</v>
      </c>
      <c r="D96" s="120">
        <v>17</v>
      </c>
      <c r="E96" s="121">
        <v>32.15</v>
      </c>
      <c r="F96" s="120">
        <v>19</v>
      </c>
      <c r="G96" s="120">
        <v>7</v>
      </c>
      <c r="H96" s="121">
        <v>18.649999999999999</v>
      </c>
      <c r="I96" s="123">
        <v>50.8</v>
      </c>
      <c r="J96" s="1">
        <f>((VLOOKUP(B96,'OIA Masters table'!A104:Q293,2,FALSE)+(VLOOKUP(B96,'OIA Masters table'!A104:Q293,4,FALSE))))</f>
        <v>49</v>
      </c>
      <c r="K96" s="81">
        <f>(VLOOKUP(Budget!$B96,'OIA Masters table'!A99:Q291,5,FALSE)+(VLOOKUP(Budget!$B96,'OIA Masters table'!A99:Q291,6,FALSE)))</f>
        <v>14</v>
      </c>
      <c r="L96" s="78">
        <f t="shared" ref="L96:L102" si="162">J96-(K96*$T$1)</f>
        <v>48.3</v>
      </c>
      <c r="M96" s="81">
        <f>(VLOOKUP($B96,'OIA PHD_table'!$A$12:$R$129,2,FALSE)+(VLOOKUP($B96,'OIA PHD_table'!$A$12:$R$129,4,FALSE)))</f>
        <v>16</v>
      </c>
      <c r="N96" s="81">
        <f>(VLOOKUP($B96,'OIA PHD_table'!$A$12:$R$129,5,FALSE)+(VLOOKUP($B96,'OIA PHD_table'!$A$12:$R$129,6,FALSE)))</f>
        <v>10</v>
      </c>
      <c r="O96" s="14">
        <f t="shared" ref="O96:O102" si="163">M96-(N96*$T$1)</f>
        <v>15.5</v>
      </c>
      <c r="P96" s="10">
        <f t="shared" ref="P96:P102" si="164">L96+O96</f>
        <v>63.8</v>
      </c>
      <c r="Q96" s="12">
        <f t="shared" si="110"/>
        <v>40.224999999999994</v>
      </c>
      <c r="R96" s="2">
        <f t="shared" ref="R96:R102" si="165">Q96*$B$129</f>
        <v>89124.579541643237</v>
      </c>
      <c r="S96" s="2">
        <f>VLOOKUP(B96, 'May MGS Renewals'!$A$3:$D$47,2,FALSE)</f>
        <v>20000</v>
      </c>
      <c r="T96" s="2">
        <f t="shared" ref="T96:T102" si="166">R96-S96</f>
        <v>69124.579541643237</v>
      </c>
      <c r="U96" s="12">
        <v>5.52996636333146</v>
      </c>
      <c r="V96" s="135">
        <f t="shared" ref="V96:V102" si="167">ROUNDDOWN(U96,0)</f>
        <v>5</v>
      </c>
      <c r="W96" s="136"/>
      <c r="X96" s="153">
        <f>T96/12500</f>
        <v>5.5299663633314591</v>
      </c>
      <c r="Y96" s="157">
        <f>ROUNDDOWN(X96,0)</f>
        <v>5</v>
      </c>
      <c r="Z96" s="156"/>
      <c r="AA96" s="12">
        <f t="shared" ref="AA96:AA102" si="168">AVERAGE(H96,O96)</f>
        <v>17.074999999999999</v>
      </c>
      <c r="AB96" s="2">
        <f t="shared" ref="AB96:AB102" si="169">AA96*$B$120</f>
        <v>91315.337787349999</v>
      </c>
      <c r="AC96" s="2">
        <f>VLOOKUP(B96,'May UMGF Renewals'!$A$1:$E$67,3,FALSE)</f>
        <v>18000</v>
      </c>
      <c r="AD96" s="2">
        <f t="shared" ref="AD96:AD102" si="170">AB96-AC96</f>
        <v>73315.337787349999</v>
      </c>
      <c r="AE96" s="12">
        <v>4.88768918582333</v>
      </c>
      <c r="AF96" s="141">
        <f t="shared" ref="AF96:AF102" si="171">ROUNDDOWN(AE96,0)</f>
        <v>4</v>
      </c>
      <c r="AG96" s="136"/>
      <c r="AH96" s="153">
        <f t="shared" ref="AH96:AH102" si="172">AD96/15000</f>
        <v>4.8876891858233336</v>
      </c>
      <c r="AI96" s="157">
        <f t="shared" ref="AI96:AI105" si="173">ROUNDDOWN(AH96,0)</f>
        <v>4</v>
      </c>
      <c r="AJ96" s="156"/>
    </row>
    <row r="97" spans="1:36" x14ac:dyDescent="0.25">
      <c r="B97" s="3" t="s">
        <v>73</v>
      </c>
      <c r="C97" s="120">
        <v>24</v>
      </c>
      <c r="D97" s="120">
        <v>6</v>
      </c>
      <c r="E97" s="121">
        <v>23.7</v>
      </c>
      <c r="F97" s="120">
        <v>19</v>
      </c>
      <c r="G97" s="120">
        <v>11</v>
      </c>
      <c r="H97" s="121">
        <v>18.45</v>
      </c>
      <c r="I97" s="123">
        <v>42.15</v>
      </c>
      <c r="J97" s="1">
        <f>((VLOOKUP(B97,'OIA Masters table'!A106:Q295,2,FALSE)+(VLOOKUP(B97,'OIA Masters table'!A106:Q295,4,FALSE))))</f>
        <v>21</v>
      </c>
      <c r="K97" s="81">
        <f>(VLOOKUP(Budget!$B97,'OIA Masters table'!A101:Q293,5,FALSE)+(VLOOKUP(Budget!$B97,'OIA Masters table'!A101:Q293,6,FALSE)))</f>
        <v>6</v>
      </c>
      <c r="L97" s="78">
        <f t="shared" si="162"/>
        <v>20.7</v>
      </c>
      <c r="M97" s="81">
        <f>(VLOOKUP($B97,'OIA PHD_table'!$A$12:$R$129,2,FALSE)+(VLOOKUP($B97,'OIA PHD_table'!$A$12:$R$129,4,FALSE)))</f>
        <v>24</v>
      </c>
      <c r="N97" s="81">
        <f>(VLOOKUP($B97,'OIA PHD_table'!$A$12:$R$129,5,FALSE)+(VLOOKUP($B97,'OIA PHD_table'!$A$12:$R$129,6,FALSE)))</f>
        <v>4</v>
      </c>
      <c r="O97" s="14">
        <f t="shared" si="163"/>
        <v>23.8</v>
      </c>
      <c r="P97" s="10">
        <f t="shared" si="164"/>
        <v>44.5</v>
      </c>
      <c r="Q97" s="12">
        <f t="shared" si="110"/>
        <v>22.2</v>
      </c>
      <c r="R97" s="2">
        <f t="shared" si="165"/>
        <v>49187.462170900682</v>
      </c>
      <c r="S97" s="2">
        <f>VLOOKUP(B97, 'May MGS Renewals'!$A$3:$D$47,2,FALSE)</f>
        <v>15000</v>
      </c>
      <c r="T97" s="2">
        <f t="shared" si="166"/>
        <v>34187.462170900682</v>
      </c>
      <c r="U97" s="12">
        <v>2.3349969736720499</v>
      </c>
      <c r="V97" s="135">
        <f t="shared" si="167"/>
        <v>2</v>
      </c>
      <c r="W97" s="136"/>
      <c r="X97" s="153">
        <f t="shared" ref="X97:X102" si="174">T97/12500</f>
        <v>2.7349969736720547</v>
      </c>
      <c r="Y97" s="157">
        <f t="shared" ref="Y97:Y102" si="175">ROUNDDOWN(X97,0)</f>
        <v>2</v>
      </c>
      <c r="Z97" s="156"/>
      <c r="AA97" s="12">
        <f t="shared" si="168"/>
        <v>21.125</v>
      </c>
      <c r="AB97" s="2">
        <f t="shared" si="169"/>
        <v>112974.31981011822</v>
      </c>
      <c r="AC97" s="2">
        <f>VLOOKUP(B97,'May UMGF Renewals'!$A$1:$E$67,3,FALSE)</f>
        <v>90000</v>
      </c>
      <c r="AD97" s="2">
        <f t="shared" si="170"/>
        <v>22974.319810118221</v>
      </c>
      <c r="AE97" s="12">
        <v>1.5316213206745499</v>
      </c>
      <c r="AF97" s="141">
        <f t="shared" si="171"/>
        <v>1</v>
      </c>
      <c r="AG97" s="136"/>
      <c r="AH97" s="153">
        <f t="shared" si="172"/>
        <v>1.5316213206745481</v>
      </c>
      <c r="AI97" s="157">
        <f t="shared" si="173"/>
        <v>1</v>
      </c>
      <c r="AJ97" s="156"/>
    </row>
    <row r="98" spans="1:36" x14ac:dyDescent="0.25">
      <c r="B98" s="3" t="s">
        <v>74</v>
      </c>
      <c r="C98" s="120">
        <v>35</v>
      </c>
      <c r="D98" s="120">
        <v>12</v>
      </c>
      <c r="E98" s="121">
        <v>34.4</v>
      </c>
      <c r="F98" s="120">
        <v>16</v>
      </c>
      <c r="G98" s="120">
        <v>5</v>
      </c>
      <c r="H98" s="121">
        <v>15.75</v>
      </c>
      <c r="I98" s="123">
        <v>50.15</v>
      </c>
      <c r="J98" s="1">
        <f>((VLOOKUP(B98,'OIA Masters table'!A107:Q296,2,FALSE)+(VLOOKUP(B98,'OIA Masters table'!A107:Q296,4,FALSE))))</f>
        <v>33</v>
      </c>
      <c r="K98" s="81">
        <f>(VLOOKUP(Budget!$B98,'OIA Masters table'!A102:Q294,5,FALSE)+(VLOOKUP(Budget!$B98,'OIA Masters table'!A102:Q294,6,FALSE)))</f>
        <v>15</v>
      </c>
      <c r="L98" s="78">
        <f t="shared" si="162"/>
        <v>32.25</v>
      </c>
      <c r="M98" s="81">
        <f>(VLOOKUP($B98,'OIA PHD_table'!$A$12:$R$129,2,FALSE)+(VLOOKUP($B98,'OIA PHD_table'!$A$12:$R$129,4,FALSE)))</f>
        <v>18</v>
      </c>
      <c r="N98" s="81">
        <f>(VLOOKUP($B98,'OIA PHD_table'!$A$12:$R$129,5,FALSE)+(VLOOKUP($B98,'OIA PHD_table'!$A$12:$R$129,6,FALSE)))</f>
        <v>4</v>
      </c>
      <c r="O98" s="14">
        <f t="shared" si="163"/>
        <v>17.8</v>
      </c>
      <c r="P98" s="10">
        <f t="shared" si="164"/>
        <v>50.05</v>
      </c>
      <c r="Q98" s="12">
        <f t="shared" si="110"/>
        <v>33.325000000000003</v>
      </c>
      <c r="R98" s="2">
        <f t="shared" si="165"/>
        <v>73836.584542579527</v>
      </c>
      <c r="S98" s="2">
        <v>0</v>
      </c>
      <c r="T98" s="2">
        <f t="shared" si="166"/>
        <v>73836.584542579527</v>
      </c>
      <c r="U98" s="12">
        <v>5.9069267634063598</v>
      </c>
      <c r="V98" s="135">
        <f t="shared" si="167"/>
        <v>5</v>
      </c>
      <c r="W98" s="136"/>
      <c r="X98" s="153">
        <f t="shared" si="174"/>
        <v>5.9069267634063625</v>
      </c>
      <c r="Y98" s="157">
        <f t="shared" si="175"/>
        <v>5</v>
      </c>
      <c r="Z98" s="156"/>
      <c r="AA98" s="12">
        <f t="shared" si="168"/>
        <v>16.774999999999999</v>
      </c>
      <c r="AB98" s="2">
        <f t="shared" si="169"/>
        <v>89710.968748626416</v>
      </c>
      <c r="AC98" s="2">
        <f>VLOOKUP(B98,'May UMGF Renewals'!$A$1:$E$67,3,FALSE)</f>
        <v>36000</v>
      </c>
      <c r="AD98" s="2">
        <f t="shared" si="170"/>
        <v>53710.968748626416</v>
      </c>
      <c r="AE98" s="12">
        <v>2.7807312499084298</v>
      </c>
      <c r="AF98" s="141">
        <f t="shared" si="171"/>
        <v>2</v>
      </c>
      <c r="AG98" s="136"/>
      <c r="AH98" s="153">
        <f t="shared" si="172"/>
        <v>3.5807312499084278</v>
      </c>
      <c r="AI98" s="157">
        <f t="shared" si="173"/>
        <v>3</v>
      </c>
      <c r="AJ98" s="156"/>
    </row>
    <row r="99" spans="1:36" x14ac:dyDescent="0.25">
      <c r="B99" s="3" t="s">
        <v>75</v>
      </c>
      <c r="C99" s="120">
        <v>10</v>
      </c>
      <c r="D99" s="120">
        <v>3</v>
      </c>
      <c r="E99" s="121">
        <v>9.85</v>
      </c>
      <c r="F99" s="120">
        <v>12</v>
      </c>
      <c r="G99" s="120">
        <v>7</v>
      </c>
      <c r="H99" s="121">
        <v>11.65</v>
      </c>
      <c r="I99" s="123">
        <v>21.5</v>
      </c>
      <c r="J99" s="1">
        <f>((VLOOKUP(B99,'OIA Masters table'!A108:Q297,2,FALSE)+(VLOOKUP(B99,'OIA Masters table'!A108:Q297,4,FALSE))))</f>
        <v>13</v>
      </c>
      <c r="K99" s="81">
        <f>(VLOOKUP(Budget!$B99,'OIA Masters table'!A103:Q295,5,FALSE)+(VLOOKUP(Budget!$B99,'OIA Masters table'!A103:Q295,6,FALSE)))</f>
        <v>5</v>
      </c>
      <c r="L99" s="78">
        <f t="shared" si="162"/>
        <v>12.75</v>
      </c>
      <c r="M99" s="81">
        <f>(VLOOKUP($B99,'OIA PHD_table'!$A$12:$R$129,2,FALSE)+(VLOOKUP($B99,'OIA PHD_table'!$A$12:$R$129,4,FALSE)))</f>
        <v>12</v>
      </c>
      <c r="N99" s="81">
        <f>(VLOOKUP($B99,'OIA PHD_table'!$A$12:$R$129,5,FALSE)+(VLOOKUP($B99,'OIA PHD_table'!$A$12:$R$129,6,FALSE)))</f>
        <v>5</v>
      </c>
      <c r="O99" s="14">
        <f t="shared" si="163"/>
        <v>11.75</v>
      </c>
      <c r="P99" s="10">
        <f t="shared" si="164"/>
        <v>24.5</v>
      </c>
      <c r="Q99" s="12">
        <f t="shared" si="110"/>
        <v>11.3</v>
      </c>
      <c r="R99" s="2">
        <f t="shared" si="165"/>
        <v>25036.86137527828</v>
      </c>
      <c r="S99" s="2">
        <f>VLOOKUP(B99, 'May MGS Renewals'!$A$3:$D$47,2,FALSE)</f>
        <v>50000</v>
      </c>
      <c r="T99" s="2">
        <f t="shared" si="166"/>
        <v>-24963.13862472172</v>
      </c>
      <c r="U99" s="12">
        <v>-1.9970510899777401</v>
      </c>
      <c r="V99" s="135">
        <f t="shared" si="167"/>
        <v>-1</v>
      </c>
      <c r="W99" s="136"/>
      <c r="X99" s="153">
        <f t="shared" si="174"/>
        <v>-1.9970510899777376</v>
      </c>
      <c r="Y99" s="157">
        <f t="shared" si="175"/>
        <v>-1</v>
      </c>
      <c r="Z99" s="156"/>
      <c r="AA99" s="12">
        <f t="shared" si="168"/>
        <v>11.7</v>
      </c>
      <c r="AB99" s="2">
        <f t="shared" si="169"/>
        <v>62570.392510219324</v>
      </c>
      <c r="AC99" s="2">
        <f>VLOOKUP(B99,'May UMGF Renewals'!$A$1:$E$67,3,FALSE)</f>
        <v>42000</v>
      </c>
      <c r="AD99" s="2">
        <f t="shared" si="170"/>
        <v>20570.392510219324</v>
      </c>
      <c r="AE99" s="12">
        <v>1.37135950068129</v>
      </c>
      <c r="AF99" s="141">
        <f t="shared" si="171"/>
        <v>1</v>
      </c>
      <c r="AG99" s="136"/>
      <c r="AH99" s="153">
        <f t="shared" si="172"/>
        <v>1.3713595006812882</v>
      </c>
      <c r="AI99" s="157">
        <f t="shared" si="173"/>
        <v>1</v>
      </c>
      <c r="AJ99" s="156"/>
    </row>
    <row r="100" spans="1:36" x14ac:dyDescent="0.25">
      <c r="B100" s="3" t="s">
        <v>76</v>
      </c>
      <c r="C100" s="120">
        <v>8</v>
      </c>
      <c r="D100" s="120">
        <v>2</v>
      </c>
      <c r="E100" s="121">
        <v>7.9</v>
      </c>
      <c r="F100" s="120">
        <v>15</v>
      </c>
      <c r="G100" s="120">
        <v>12</v>
      </c>
      <c r="H100" s="121">
        <v>14.4</v>
      </c>
      <c r="I100" s="123">
        <v>22.3</v>
      </c>
      <c r="J100" s="1">
        <f>((VLOOKUP(B100,'OIA Masters table'!A109:Q298,2,FALSE)+(VLOOKUP(B100,'OIA Masters table'!A109:Q298,4,FALSE))))</f>
        <v>11</v>
      </c>
      <c r="K100" s="81">
        <f>(VLOOKUP(Budget!$B100,'OIA Masters table'!A104:Q296,5,FALSE)+(VLOOKUP(Budget!$B100,'OIA Masters table'!A104:Q296,6,FALSE)))</f>
        <v>1</v>
      </c>
      <c r="L100" s="78">
        <f t="shared" si="162"/>
        <v>10.95</v>
      </c>
      <c r="M100" s="81">
        <f>(VLOOKUP($B100,'OIA PHD_table'!$A$12:$R$129,2,FALSE)+(VLOOKUP($B100,'OIA PHD_table'!$A$12:$R$129,4,FALSE)))</f>
        <v>12</v>
      </c>
      <c r="N100" s="81">
        <f>(VLOOKUP($B100,'OIA PHD_table'!$A$12:$R$129,5,FALSE)+(VLOOKUP($B100,'OIA PHD_table'!$A$12:$R$129,6,FALSE)))</f>
        <v>17</v>
      </c>
      <c r="O100" s="14">
        <f t="shared" si="163"/>
        <v>11.15</v>
      </c>
      <c r="P100" s="10">
        <f t="shared" si="164"/>
        <v>22.1</v>
      </c>
      <c r="Q100" s="12">
        <f t="shared" si="110"/>
        <v>9.4250000000000007</v>
      </c>
      <c r="R100" s="2">
        <f t="shared" si="165"/>
        <v>20882.514908141398</v>
      </c>
      <c r="S100" s="2">
        <v>0</v>
      </c>
      <c r="T100" s="2">
        <f t="shared" si="166"/>
        <v>20882.514908141398</v>
      </c>
      <c r="U100" s="12">
        <v>1.67060119265131</v>
      </c>
      <c r="V100" s="135">
        <f t="shared" si="167"/>
        <v>1</v>
      </c>
      <c r="W100" s="136"/>
      <c r="X100" s="153">
        <f t="shared" si="174"/>
        <v>1.6706011926513118</v>
      </c>
      <c r="Y100" s="157">
        <f t="shared" si="175"/>
        <v>1</v>
      </c>
      <c r="Z100" s="156"/>
      <c r="AA100" s="12">
        <f t="shared" si="168"/>
        <v>12.775</v>
      </c>
      <c r="AB100" s="2">
        <f t="shared" si="169"/>
        <v>68319.381565645468</v>
      </c>
      <c r="AC100" s="2">
        <f>VLOOKUP(B100,'May UMGF Renewals'!$A$1:$E$67,3,FALSE)</f>
        <v>60000</v>
      </c>
      <c r="AD100" s="2">
        <f t="shared" si="170"/>
        <v>8319.3815656454681</v>
      </c>
      <c r="AE100" s="12">
        <v>0.55462543770969797</v>
      </c>
      <c r="AF100" s="141">
        <f t="shared" si="171"/>
        <v>0</v>
      </c>
      <c r="AG100" s="136"/>
      <c r="AH100" s="153">
        <f t="shared" si="172"/>
        <v>0.55462543770969785</v>
      </c>
      <c r="AI100" s="157">
        <f t="shared" si="173"/>
        <v>0</v>
      </c>
      <c r="AJ100" s="156"/>
    </row>
    <row r="101" spans="1:36" x14ac:dyDescent="0.25">
      <c r="B101" s="3" t="s">
        <v>77</v>
      </c>
      <c r="C101" s="120">
        <v>17</v>
      </c>
      <c r="D101" s="120">
        <v>10</v>
      </c>
      <c r="E101" s="121">
        <v>16.5</v>
      </c>
      <c r="F101" s="120">
        <v>21</v>
      </c>
      <c r="G101" s="120">
        <v>15</v>
      </c>
      <c r="H101" s="121">
        <v>20.25</v>
      </c>
      <c r="I101" s="123">
        <v>36.75</v>
      </c>
      <c r="J101" s="1">
        <f>((VLOOKUP(B101,'OIA Masters table'!A110:Q299,2,FALSE)+(VLOOKUP(B101,'OIA Masters table'!A110:Q299,4,FALSE))))</f>
        <v>16</v>
      </c>
      <c r="K101" s="81">
        <f>(VLOOKUP(Budget!$B101,'OIA Masters table'!A105:Q297,5,FALSE)+(VLOOKUP(Budget!$B101,'OIA Masters table'!A105:Q297,6,FALSE)))</f>
        <v>9</v>
      </c>
      <c r="L101" s="78">
        <f t="shared" si="162"/>
        <v>15.55</v>
      </c>
      <c r="M101" s="81">
        <f>(VLOOKUP($B101,'OIA PHD_table'!$A$12:$R$129,2,FALSE)+(VLOOKUP($B101,'OIA PHD_table'!$A$12:$R$129,4,FALSE)))</f>
        <v>28</v>
      </c>
      <c r="N101" s="81">
        <f>(VLOOKUP($B101,'OIA PHD_table'!$A$12:$R$129,5,FALSE)+(VLOOKUP($B101,'OIA PHD_table'!$A$12:$R$129,6,FALSE)))</f>
        <v>14</v>
      </c>
      <c r="O101" s="14">
        <f t="shared" si="163"/>
        <v>27.3</v>
      </c>
      <c r="P101" s="10">
        <f t="shared" si="164"/>
        <v>42.85</v>
      </c>
      <c r="Q101" s="12">
        <f t="shared" si="110"/>
        <v>16.024999999999999</v>
      </c>
      <c r="R101" s="2">
        <f t="shared" si="165"/>
        <v>35505.814472463215</v>
      </c>
      <c r="S101" s="2">
        <f>VLOOKUP(B101, 'May MGS Renewals'!$A$3:$D$47,2,FALSE)</f>
        <v>10000</v>
      </c>
      <c r="T101" s="2">
        <f t="shared" si="166"/>
        <v>25505.814472463215</v>
      </c>
      <c r="U101" s="12">
        <v>2.0404651577970601</v>
      </c>
      <c r="V101" s="135">
        <f t="shared" si="167"/>
        <v>2</v>
      </c>
      <c r="W101" s="136"/>
      <c r="X101" s="153">
        <f t="shared" si="174"/>
        <v>2.0404651577970574</v>
      </c>
      <c r="Y101" s="157">
        <f t="shared" si="175"/>
        <v>2</v>
      </c>
      <c r="Z101" s="156"/>
      <c r="AA101" s="12">
        <f t="shared" si="168"/>
        <v>23.774999999999999</v>
      </c>
      <c r="AB101" s="2">
        <f t="shared" si="169"/>
        <v>127146.24631884311</v>
      </c>
      <c r="AC101" s="2">
        <f>VLOOKUP(B101,'May UMGF Renewals'!$A$1:$E$67,3,FALSE)</f>
        <v>180000</v>
      </c>
      <c r="AD101" s="2">
        <f t="shared" si="170"/>
        <v>-52853.753681156886</v>
      </c>
      <c r="AE101" s="12">
        <v>-3.5235835787437901</v>
      </c>
      <c r="AF101" s="141">
        <f t="shared" si="171"/>
        <v>-3</v>
      </c>
      <c r="AG101" s="136"/>
      <c r="AH101" s="153">
        <f t="shared" si="172"/>
        <v>-3.5235835787437924</v>
      </c>
      <c r="AI101" s="157">
        <f t="shared" si="173"/>
        <v>-3</v>
      </c>
      <c r="AJ101" s="156"/>
    </row>
    <row r="102" spans="1:36" x14ac:dyDescent="0.25">
      <c r="B102" s="3" t="s">
        <v>78</v>
      </c>
      <c r="C102" s="120">
        <v>12</v>
      </c>
      <c r="D102" s="120">
        <v>2</v>
      </c>
      <c r="E102" s="121">
        <v>11.9</v>
      </c>
      <c r="F102" s="120">
        <v>6</v>
      </c>
      <c r="G102" s="120">
        <v>6</v>
      </c>
      <c r="H102" s="121">
        <v>5.7</v>
      </c>
      <c r="I102" s="123">
        <v>17.600000000000001</v>
      </c>
      <c r="J102" s="1">
        <f>((VLOOKUP(B102,'OIA Masters table'!A111:Q300,2,FALSE)+(VLOOKUP(B102,'OIA Masters table'!A111:Q300,4,FALSE))))</f>
        <v>10</v>
      </c>
      <c r="K102" s="81">
        <f>(VLOOKUP(Budget!$B102,'OIA Masters table'!A106:Q298,5,FALSE)+(VLOOKUP(Budget!$B102,'OIA Masters table'!A106:Q298,6,FALSE)))</f>
        <v>3</v>
      </c>
      <c r="L102" s="78">
        <f t="shared" si="162"/>
        <v>9.85</v>
      </c>
      <c r="M102" s="81">
        <f>(VLOOKUP($B102,'OIA PHD_table'!$A$12:$R$129,2,FALSE)+(VLOOKUP($B102,'OIA PHD_table'!$A$12:$R$129,4,FALSE)))</f>
        <v>8</v>
      </c>
      <c r="N102" s="81">
        <f>(VLOOKUP($B102,'OIA PHD_table'!$A$12:$R$129,5,FALSE)+(VLOOKUP($B102,'OIA PHD_table'!$A$12:$R$129,6,FALSE)))</f>
        <v>5</v>
      </c>
      <c r="O102" s="14">
        <f t="shared" si="163"/>
        <v>7.75</v>
      </c>
      <c r="P102" s="10">
        <f t="shared" si="164"/>
        <v>17.600000000000001</v>
      </c>
      <c r="Q102" s="12">
        <f t="shared" si="110"/>
        <v>10.875</v>
      </c>
      <c r="R102" s="2">
        <f t="shared" si="165"/>
        <v>24095.209509393917</v>
      </c>
      <c r="S102" s="2">
        <f>VLOOKUP(B102, 'May MGS Renewals'!$A$3:$D$47,2,FALSE)</f>
        <v>5000</v>
      </c>
      <c r="T102" s="2">
        <f t="shared" si="166"/>
        <v>19095.209509393917</v>
      </c>
      <c r="U102" s="12">
        <v>1.5276167607515101</v>
      </c>
      <c r="V102" s="135">
        <f t="shared" si="167"/>
        <v>1</v>
      </c>
      <c r="W102" s="136"/>
      <c r="X102" s="153">
        <f t="shared" si="174"/>
        <v>1.5276167607515134</v>
      </c>
      <c r="Y102" s="157">
        <f t="shared" si="175"/>
        <v>1</v>
      </c>
      <c r="Z102" s="156"/>
      <c r="AA102" s="12">
        <f t="shared" si="168"/>
        <v>6.7249999999999996</v>
      </c>
      <c r="AB102" s="2">
        <f t="shared" si="169"/>
        <v>35964.605951386744</v>
      </c>
      <c r="AC102" s="2">
        <f>VLOOKUP(B102,'May UMGF Renewals'!$A$1:$E$67,3,FALSE)</f>
        <v>36000</v>
      </c>
      <c r="AD102" s="2">
        <f t="shared" si="170"/>
        <v>-35.394048613256018</v>
      </c>
      <c r="AE102" s="12">
        <v>-2.3596032408837301E-3</v>
      </c>
      <c r="AF102" s="141">
        <f t="shared" si="171"/>
        <v>0</v>
      </c>
      <c r="AG102" s="136"/>
      <c r="AH102" s="153">
        <f t="shared" si="172"/>
        <v>-2.3596032408837344E-3</v>
      </c>
      <c r="AI102" s="157">
        <f t="shared" si="173"/>
        <v>0</v>
      </c>
      <c r="AJ102" s="156"/>
    </row>
    <row r="103" spans="1:36" s="5" customFormat="1" x14ac:dyDescent="0.25">
      <c r="B103" s="145" t="s">
        <v>17</v>
      </c>
      <c r="C103" s="146">
        <f t="shared" ref="C103:P103" si="176">SUM(C96:C102)</f>
        <v>139</v>
      </c>
      <c r="D103" s="146">
        <f t="shared" si="176"/>
        <v>52</v>
      </c>
      <c r="E103" s="146">
        <f t="shared" si="176"/>
        <v>136.4</v>
      </c>
      <c r="F103" s="146">
        <f t="shared" si="176"/>
        <v>108</v>
      </c>
      <c r="G103" s="146">
        <f t="shared" si="176"/>
        <v>63</v>
      </c>
      <c r="H103" s="146">
        <f t="shared" si="176"/>
        <v>104.85000000000001</v>
      </c>
      <c r="I103" s="147">
        <f t="shared" si="176"/>
        <v>241.25</v>
      </c>
      <c r="J103" s="146">
        <f t="shared" si="176"/>
        <v>153</v>
      </c>
      <c r="K103" s="146">
        <f t="shared" si="176"/>
        <v>53</v>
      </c>
      <c r="L103" s="146">
        <f t="shared" si="176"/>
        <v>150.35</v>
      </c>
      <c r="M103" s="146">
        <f t="shared" si="176"/>
        <v>118</v>
      </c>
      <c r="N103" s="146">
        <f t="shared" si="176"/>
        <v>59</v>
      </c>
      <c r="O103" s="148">
        <f t="shared" si="176"/>
        <v>115.05</v>
      </c>
      <c r="P103" s="147">
        <f t="shared" si="176"/>
        <v>265.39999999999998</v>
      </c>
      <c r="Q103" s="148">
        <f t="shared" si="110"/>
        <v>143.375</v>
      </c>
      <c r="R103" s="149">
        <f>SUM(R96:R102)</f>
        <v>317669.02652040025</v>
      </c>
      <c r="S103" s="149">
        <f>SUM(S96:S102)</f>
        <v>100000</v>
      </c>
      <c r="T103" s="149">
        <f>SUM(T96:T102)</f>
        <v>217669.02652040028</v>
      </c>
      <c r="U103" s="148">
        <f>SUM(U96:U102)</f>
        <v>17.013522121632011</v>
      </c>
      <c r="V103" s="148">
        <f>SUM(V96:V102)</f>
        <v>15</v>
      </c>
      <c r="W103" s="148">
        <f>ROUNDUP(U103,0)</f>
        <v>18</v>
      </c>
      <c r="X103" s="148">
        <f>SUM(X96:X102)</f>
        <v>17.41352212163202</v>
      </c>
      <c r="Y103" s="148">
        <f>SUM(Y96:Y102)</f>
        <v>15</v>
      </c>
      <c r="Z103" s="148">
        <f>ROUNDUP(X103,0)</f>
        <v>18</v>
      </c>
      <c r="AA103" s="148">
        <f t="shared" ref="AA103:AF103" si="177">SUM(AA96:AA102)</f>
        <v>109.94999999999999</v>
      </c>
      <c r="AB103" s="149">
        <f t="shared" si="177"/>
        <v>588001.2526921893</v>
      </c>
      <c r="AC103" s="149">
        <f t="shared" si="177"/>
        <v>462000</v>
      </c>
      <c r="AD103" s="149">
        <f t="shared" si="177"/>
        <v>126001.25269218933</v>
      </c>
      <c r="AE103" s="148">
        <f t="shared" si="177"/>
        <v>7.6000835128126223</v>
      </c>
      <c r="AF103" s="150">
        <f t="shared" si="177"/>
        <v>5</v>
      </c>
      <c r="AG103" s="148">
        <f>ROUND(AE103,0)</f>
        <v>8</v>
      </c>
      <c r="AH103" s="148">
        <f>SUM(AH96:AH102)</f>
        <v>8.4000835128126194</v>
      </c>
      <c r="AI103" s="148">
        <f>SUM(AI96:AI102)</f>
        <v>6</v>
      </c>
      <c r="AJ103" s="148">
        <f>ROUNDUP(AH103,0)</f>
        <v>9</v>
      </c>
    </row>
    <row r="104" spans="1:36" x14ac:dyDescent="0.25">
      <c r="R104" s="2"/>
      <c r="W104" s="136"/>
      <c r="Y104" s="156"/>
      <c r="Z104" s="156"/>
      <c r="AA104" s="12"/>
      <c r="AC104" s="2"/>
      <c r="AD104" s="2"/>
      <c r="AE104" s="12"/>
      <c r="AG104" s="136"/>
      <c r="AH104" s="153"/>
      <c r="AI104" s="156"/>
      <c r="AJ104" s="156"/>
    </row>
    <row r="105" spans="1:36" x14ac:dyDescent="0.25">
      <c r="A105" s="139" t="s">
        <v>80</v>
      </c>
      <c r="B105" s="3" t="s">
        <v>80</v>
      </c>
      <c r="C105" s="120">
        <v>38</v>
      </c>
      <c r="D105" s="120">
        <v>25</v>
      </c>
      <c r="E105" s="121">
        <v>36.75</v>
      </c>
      <c r="F105" s="120">
        <v>7</v>
      </c>
      <c r="G105" s="120">
        <v>10</v>
      </c>
      <c r="H105" s="121">
        <v>6.5</v>
      </c>
      <c r="I105" s="123">
        <v>43.25</v>
      </c>
      <c r="J105" s="1">
        <f>((VLOOKUP(B105,'OIA Masters table'!A115:Q304,2,FALSE)+(VLOOKUP(B105,'OIA Masters table'!A115:Q304,4,FALSE))))</f>
        <v>36</v>
      </c>
      <c r="K105" s="81">
        <f>(VLOOKUP(Budget!$B105,'OIA Masters table'!A110:Q302,5,FALSE)+(VLOOKUP(Budget!$B105,'OIA Masters table'!A110:Q302,6,FALSE)))</f>
        <v>32</v>
      </c>
      <c r="L105" s="78">
        <f>J105-(K105*$T$1)</f>
        <v>34.4</v>
      </c>
      <c r="M105" s="81">
        <f>(VLOOKUP($B105,'OIA PHD_table'!$A$12:$R$129,2,FALSE)+(VLOOKUP($B105,'OIA PHD_table'!$A$12:$R$129,4,FALSE)))</f>
        <v>3</v>
      </c>
      <c r="N105" s="81">
        <f>(VLOOKUP($B105,'OIA PHD_table'!$A$12:$R$129,5,FALSE)+(VLOOKUP($B105,'OIA PHD_table'!$A$12:$R$129,6,FALSE)))</f>
        <v>10</v>
      </c>
      <c r="O105" s="14">
        <f>M105-(N105*$T$1)</f>
        <v>2.5</v>
      </c>
      <c r="P105" s="10">
        <f t="shared" ref="P105" si="178">L105+O105</f>
        <v>36.9</v>
      </c>
      <c r="Q105" s="12">
        <f t="shared" si="110"/>
        <v>35.575000000000003</v>
      </c>
      <c r="R105" s="2">
        <f t="shared" ref="R105" si="179">Q105*$B$129</f>
        <v>78821.800303143784</v>
      </c>
      <c r="S105" s="2">
        <f>VLOOKUP(B105, 'May MGS Renewals'!$A$3:$D$47,2,FALSE)</f>
        <v>15000</v>
      </c>
      <c r="T105" s="2">
        <f t="shared" ref="T105" si="180">R105-S105</f>
        <v>63821.800303143784</v>
      </c>
      <c r="U105" s="12">
        <v>3.5057440242514999</v>
      </c>
      <c r="V105" s="135">
        <f t="shared" ref="V105" si="181">ROUNDDOWN(U105,0)</f>
        <v>3</v>
      </c>
      <c r="W105" s="136"/>
      <c r="X105" s="153">
        <f>T105/12500</f>
        <v>5.1057440242515026</v>
      </c>
      <c r="Y105" s="157">
        <f>ROUNDDOWN(X105,0)</f>
        <v>5</v>
      </c>
      <c r="Z105" s="156"/>
      <c r="AA105" s="12">
        <f>AVERAGE(H105,O105)</f>
        <v>4.5</v>
      </c>
      <c r="AB105" s="2">
        <f t="shared" ref="AB105" si="182">AA105*$B$120</f>
        <v>24065.535580853586</v>
      </c>
      <c r="AC105" s="2">
        <f>VLOOKUP(B105,'May UMGF Renewals'!$A$1:$E$67,3,FALSE)</f>
        <v>36000</v>
      </c>
      <c r="AD105" s="2">
        <f t="shared" ref="AD105" si="183">AB105-AC105</f>
        <v>-11934.464419146414</v>
      </c>
      <c r="AE105" s="12">
        <v>-0.79563096127642796</v>
      </c>
      <c r="AF105" s="141">
        <f t="shared" ref="AF105" si="184">ROUNDDOWN(AE105,0)</f>
        <v>0</v>
      </c>
      <c r="AG105" s="136"/>
      <c r="AH105" s="153">
        <f t="shared" ref="AH105" si="185">AD105/15000</f>
        <v>-0.79563096127642763</v>
      </c>
      <c r="AI105" s="157">
        <f t="shared" si="173"/>
        <v>0</v>
      </c>
      <c r="AJ105" s="156"/>
    </row>
    <row r="106" spans="1:36" s="5" customFormat="1" x14ac:dyDescent="0.25">
      <c r="B106" s="145" t="s">
        <v>17</v>
      </c>
      <c r="C106" s="146">
        <f>SUM(C105)</f>
        <v>38</v>
      </c>
      <c r="D106" s="146">
        <f t="shared" ref="D106:P106" si="186">SUM(D105)</f>
        <v>25</v>
      </c>
      <c r="E106" s="146">
        <f t="shared" si="186"/>
        <v>36.75</v>
      </c>
      <c r="F106" s="146">
        <f t="shared" si="186"/>
        <v>7</v>
      </c>
      <c r="G106" s="146">
        <f t="shared" si="186"/>
        <v>10</v>
      </c>
      <c r="H106" s="146">
        <f t="shared" si="186"/>
        <v>6.5</v>
      </c>
      <c r="I106" s="147">
        <f t="shared" si="186"/>
        <v>43.25</v>
      </c>
      <c r="J106" s="146">
        <f t="shared" si="186"/>
        <v>36</v>
      </c>
      <c r="K106" s="146">
        <f t="shared" si="186"/>
        <v>32</v>
      </c>
      <c r="L106" s="146">
        <f t="shared" si="186"/>
        <v>34.4</v>
      </c>
      <c r="M106" s="146">
        <f t="shared" si="186"/>
        <v>3</v>
      </c>
      <c r="N106" s="146">
        <f t="shared" si="186"/>
        <v>10</v>
      </c>
      <c r="O106" s="146">
        <f t="shared" si="186"/>
        <v>2.5</v>
      </c>
      <c r="P106" s="147">
        <f t="shared" si="186"/>
        <v>36.9</v>
      </c>
      <c r="Q106" s="148">
        <f t="shared" si="110"/>
        <v>35.575000000000003</v>
      </c>
      <c r="R106" s="149">
        <f>SUM(R105)</f>
        <v>78821.800303143784</v>
      </c>
      <c r="S106" s="149">
        <f>SUM(S105)</f>
        <v>15000</v>
      </c>
      <c r="T106" s="149">
        <f>SUM(T105)</f>
        <v>63821.800303143784</v>
      </c>
      <c r="U106" s="148">
        <v>3.5057440242514999</v>
      </c>
      <c r="V106" s="148">
        <f>SUM(V105)</f>
        <v>3</v>
      </c>
      <c r="W106" s="148">
        <f>ROUNDUP(U106,0)</f>
        <v>4</v>
      </c>
      <c r="X106" s="148">
        <f>SUM(X105)</f>
        <v>5.1057440242515026</v>
      </c>
      <c r="Y106" s="148">
        <f>SUM(Y105)</f>
        <v>5</v>
      </c>
      <c r="Z106" s="148">
        <f>ROUNDUP(X106,0)</f>
        <v>6</v>
      </c>
      <c r="AA106" s="148">
        <f>SUM(AA105)</f>
        <v>4.5</v>
      </c>
      <c r="AB106" s="149">
        <f>SUM(AB105)</f>
        <v>24065.535580853586</v>
      </c>
      <c r="AC106" s="149">
        <f>SUM(AC105)</f>
        <v>36000</v>
      </c>
      <c r="AD106" s="149">
        <f>SUM(AD105)</f>
        <v>-11934.464419146414</v>
      </c>
      <c r="AE106" s="148">
        <f>SUM(AE105)</f>
        <v>-0.79563096127642796</v>
      </c>
      <c r="AF106" s="150">
        <v>0</v>
      </c>
      <c r="AG106" s="148">
        <f>ROUND(AE106,0)</f>
        <v>-1</v>
      </c>
      <c r="AH106" s="148">
        <f>SUM(AH105)</f>
        <v>-0.79563096127642763</v>
      </c>
      <c r="AI106" s="148">
        <f>SUM(AI105)</f>
        <v>0</v>
      </c>
      <c r="AJ106" s="148">
        <f>ROUNDUP(AH106,0)</f>
        <v>-1</v>
      </c>
    </row>
    <row r="107" spans="1:36" x14ac:dyDescent="0.25">
      <c r="W107" s="135"/>
      <c r="Y107" s="157"/>
      <c r="Z107" s="157"/>
      <c r="AA107" s="12"/>
      <c r="AB107" s="12"/>
      <c r="AC107" s="2"/>
      <c r="AD107" s="2"/>
      <c r="AE107" s="2"/>
      <c r="AG107" s="135"/>
      <c r="AH107" s="153"/>
      <c r="AI107" s="157"/>
      <c r="AJ107" s="157"/>
    </row>
    <row r="108" spans="1:36" x14ac:dyDescent="0.25">
      <c r="J108" s="125"/>
      <c r="K108" s="125"/>
      <c r="L108" s="126">
        <f>SUM(L16,L22,L26,L44,L47,L52,L57,L62,L70,L73,L76,L79,L84,L88,L91,L94,L103,L106,)</f>
        <v>1201.5750000000003</v>
      </c>
      <c r="M108" s="126">
        <f>SUM(M16,M22,M26,M44,M47,M52,M57,M62,M70,M73,M76,M79,M84,M88,M91,M94,M103,M106,)</f>
        <v>587</v>
      </c>
      <c r="N108" s="126">
        <f>SUM(N16,N22,N26,N44,N47,N52,N57,N62,N70,N73,N76,N79,N84,N88,N91,N94,N103,N106,)</f>
        <v>306</v>
      </c>
      <c r="O108" s="126">
        <f>SUM(O16,O22,O26,O44,O47,O52,O57,O62,O70,O73,O76,O79,O84,O88,O91,O94,O103,O106,)</f>
        <v>579</v>
      </c>
      <c r="P108" s="10">
        <f>SUM(P16,P22,P26,P44,P47,P52,P57,P62,P70,P73,P76,P79,P84,P88,P91,P94,P103,P106,)</f>
        <v>1780.5749999999998</v>
      </c>
      <c r="Q108" s="14">
        <f>SUM(Q16,Q22,Q26,Q44,Q47,Q52,Q57,Q62,Q70,Q73,Q76,Q79,Q84,Q88,Q91,Q94,Q103,Q106)</f>
        <v>1195.3875</v>
      </c>
      <c r="R108" s="8">
        <f>SUM(R16,R22,R26,R44,R47,R52,R57,R62,R70,R73,R76,R79,R84,R88,R91,R94,R103,R106)</f>
        <v>2648562.0466584489</v>
      </c>
      <c r="S108" s="8">
        <f>SUM(S16,S22,S26,S44,S47,S52,S57,S62,S70,S73,S76,S79,S84,S88,S91,S94,S103,S106)</f>
        <v>945000</v>
      </c>
      <c r="T108" s="8">
        <f>SUM(T16,T22,T26,T44,T47,T52,T57,T62,T70,T73,T76,T79,T84,T88,T91,T94,T103,T106)</f>
        <v>1703562.0466584477</v>
      </c>
      <c r="W108" s="131">
        <f>SUM(W16,W22,W26,W44,W47,W52,W57,W62,W70,W73,W76,W79,W84,W88,W91,W94,W103,W106)</f>
        <v>109</v>
      </c>
      <c r="Y108" s="166">
        <f>SUM(Y16,Y22,Y26,Y44,Y47,Y52,Y57,Y62,Y70,Y73,Y76,Y79,Y84,Y88,Y91,Y94,Y103,Y106)</f>
        <v>91</v>
      </c>
      <c r="Z108" s="166">
        <f>SUM(Z16,Z22,Z26,Z44,Z47,Z52,Z57,Z62,Z70,Z73,Z76,Z79,Z84,Z88,Z91,Z94,Z103,Z106)</f>
        <v>117</v>
      </c>
      <c r="AA108" s="14">
        <f>SUM(AA16,AA22,AA26,AA44,AA47,AA52,AA57,AA62,AA70,AA73,AA76,AA79,AA84,AA88,AA91,AA94,AA103,AA106)</f>
        <v>568.77499999999998</v>
      </c>
      <c r="AB108" s="8">
        <f>SUM(AB16,AB22,AB26,AB44,AB47,AB52,AB57,AB62,AB70,AB73,AB76,AB79,AB84,AB88,AB91,AB94,AB103,AB106)</f>
        <v>2983457.9249263764</v>
      </c>
      <c r="AC108" s="8">
        <f>SUM(AC16,AC44,AC47,AC52,AC57,AC62,AC70,AC73,AC76,AC79,AC103,AC106)</f>
        <v>1956000</v>
      </c>
      <c r="AD108" s="8">
        <f>SUM(AD16,AD44,AD47,AD52,AD57,AD62,AD70,AD73,AD76,AD79,AD103,AD106)</f>
        <v>1027457.9249263766</v>
      </c>
      <c r="AE108" s="2"/>
      <c r="AF108" s="131">
        <f>SUM(AF16,AF44,AF47,AF52,AF57,AF62,AF70,AF73,AF76,AF79,AF103,AF106)</f>
        <v>56</v>
      </c>
      <c r="AG108" s="131">
        <f>SUM(AG16,AG44,AG47,AG52,AG57,AG62,AG70,AG73,AG76,AG79,AG103,AG106)</f>
        <v>66</v>
      </c>
      <c r="AH108" s="153"/>
      <c r="AI108" s="166">
        <f>SUM(AI16,AI44,AI47,AI52,AI57,AI62,AI70,AI73,AI76,AI79,AI103,AI106)</f>
        <v>63</v>
      </c>
      <c r="AJ108" s="157"/>
    </row>
    <row r="109" spans="1:36" x14ac:dyDescent="0.25">
      <c r="W109" s="135"/>
      <c r="Y109" s="157"/>
      <c r="Z109" s="157"/>
      <c r="AA109" s="14"/>
      <c r="AB109" s="12"/>
      <c r="AC109" s="2"/>
      <c r="AD109" s="2"/>
      <c r="AE109" s="2"/>
      <c r="AG109" s="135"/>
      <c r="AH109" s="153"/>
      <c r="AI109" s="157"/>
      <c r="AJ109" s="157"/>
    </row>
    <row r="110" spans="1:36" x14ac:dyDescent="0.25">
      <c r="W110" s="135"/>
      <c r="Y110" s="157"/>
      <c r="Z110" s="157"/>
      <c r="AA110" s="1"/>
      <c r="AI110" s="159"/>
      <c r="AJ110" s="159"/>
    </row>
    <row r="111" spans="1:36" x14ac:dyDescent="0.25">
      <c r="W111" s="135"/>
      <c r="Y111" s="157"/>
      <c r="Z111" s="157"/>
      <c r="AA111" s="1"/>
      <c r="AI111" s="159"/>
      <c r="AJ111" s="159"/>
    </row>
    <row r="112" spans="1:36" x14ac:dyDescent="0.25">
      <c r="A112" s="3" t="s">
        <v>81</v>
      </c>
      <c r="B112" s="59">
        <v>2930000</v>
      </c>
      <c r="W112" s="135"/>
      <c r="Y112" s="157"/>
      <c r="Z112" s="157"/>
      <c r="AA112" s="1"/>
      <c r="AI112" s="159"/>
      <c r="AJ112" s="159"/>
    </row>
    <row r="113" spans="1:36" ht="12.6" thickBot="1" x14ac:dyDescent="0.3">
      <c r="A113" s="143" t="s">
        <v>82</v>
      </c>
      <c r="B113" s="75">
        <v>-285000</v>
      </c>
      <c r="W113" s="135"/>
      <c r="Y113" s="157"/>
      <c r="Z113" s="157"/>
      <c r="AA113" s="1"/>
      <c r="AB113" s="3"/>
      <c r="AC113" s="3"/>
      <c r="AD113" s="3"/>
      <c r="AE113" s="3"/>
      <c r="AF113" s="3"/>
      <c r="AG113" s="3"/>
      <c r="AI113" s="3"/>
      <c r="AJ113" s="3"/>
    </row>
    <row r="114" spans="1:36" x14ac:dyDescent="0.25">
      <c r="A114" s="3" t="s">
        <v>17</v>
      </c>
      <c r="B114" s="59">
        <f>SUM(B112:B113)</f>
        <v>2645000</v>
      </c>
      <c r="W114" s="135"/>
      <c r="Y114" s="157"/>
      <c r="Z114" s="157"/>
      <c r="AA114" s="1"/>
      <c r="AB114" s="3"/>
      <c r="AC114" s="3"/>
      <c r="AD114" s="3"/>
      <c r="AE114" s="3"/>
      <c r="AF114" s="3"/>
      <c r="AG114" s="3"/>
      <c r="AI114" s="3"/>
      <c r="AJ114" s="3"/>
    </row>
    <row r="115" spans="1:36" ht="12.6" thickBot="1" x14ac:dyDescent="0.3">
      <c r="A115" s="143" t="s">
        <v>83</v>
      </c>
      <c r="B115" s="124">
        <v>0.15</v>
      </c>
      <c r="W115" s="135"/>
      <c r="Y115" s="157"/>
      <c r="Z115" s="157"/>
      <c r="AA115" s="1"/>
      <c r="AB115" s="3"/>
      <c r="AC115" s="3"/>
      <c r="AD115" s="3"/>
      <c r="AE115" s="3"/>
      <c r="AF115" s="3"/>
      <c r="AG115" s="3"/>
      <c r="AI115" s="3"/>
      <c r="AJ115" s="3"/>
    </row>
    <row r="116" spans="1:36" x14ac:dyDescent="0.25">
      <c r="A116" s="5" t="s">
        <v>84</v>
      </c>
      <c r="B116" s="74">
        <f>B114*1.15</f>
        <v>3041749.9999999995</v>
      </c>
      <c r="W116" s="135"/>
      <c r="Y116" s="157"/>
      <c r="Z116" s="157"/>
      <c r="AA116" s="1"/>
      <c r="AB116" s="3"/>
      <c r="AC116" s="3"/>
      <c r="AD116" s="3"/>
      <c r="AE116" s="3"/>
      <c r="AF116" s="3"/>
      <c r="AG116" s="3"/>
      <c r="AI116" s="3"/>
      <c r="AJ116" s="3"/>
    </row>
    <row r="117" spans="1:36" ht="12.6" thickBot="1" x14ac:dyDescent="0.3">
      <c r="A117" s="143" t="s">
        <v>7</v>
      </c>
      <c r="B117" s="75">
        <f>AC108</f>
        <v>1956000</v>
      </c>
      <c r="W117" s="135"/>
      <c r="Y117" s="157"/>
      <c r="Z117" s="157"/>
      <c r="AA117" s="1"/>
      <c r="AB117" s="3"/>
      <c r="AC117" s="3"/>
      <c r="AD117" s="3"/>
      <c r="AE117" s="3"/>
      <c r="AF117" s="3"/>
      <c r="AG117" s="3"/>
      <c r="AI117" s="3"/>
      <c r="AJ117" s="3"/>
    </row>
    <row r="118" spans="1:36" x14ac:dyDescent="0.25">
      <c r="A118" s="5" t="s">
        <v>247</v>
      </c>
      <c r="B118" s="74">
        <f>B116-B117</f>
        <v>1085749.9999999995</v>
      </c>
      <c r="W118" s="135"/>
      <c r="Y118" s="157"/>
      <c r="Z118" s="157"/>
      <c r="AA118" s="1"/>
      <c r="AB118" s="3"/>
      <c r="AC118" s="3"/>
      <c r="AD118" s="3"/>
      <c r="AE118" s="3"/>
      <c r="AF118" s="3"/>
      <c r="AG118" s="3"/>
      <c r="AI118" s="3"/>
      <c r="AJ118" s="3"/>
    </row>
    <row r="119" spans="1:36" x14ac:dyDescent="0.25">
      <c r="B119" s="59"/>
      <c r="W119" s="135"/>
      <c r="Y119" s="157"/>
      <c r="Z119" s="157"/>
      <c r="AA119" s="1"/>
      <c r="AB119" s="3"/>
      <c r="AC119" s="3"/>
      <c r="AD119" s="3"/>
      <c r="AE119" s="3"/>
      <c r="AF119" s="3"/>
      <c r="AG119" s="3"/>
      <c r="AI119" s="3"/>
      <c r="AJ119" s="3"/>
    </row>
    <row r="120" spans="1:36" x14ac:dyDescent="0.25">
      <c r="A120" s="5" t="s">
        <v>236</v>
      </c>
      <c r="B120" s="74">
        <f>B116/AA108</f>
        <v>5347.8967957452414</v>
      </c>
      <c r="AB120" s="3"/>
      <c r="AC120" s="3"/>
      <c r="AD120" s="3"/>
      <c r="AE120" s="3"/>
      <c r="AF120" s="3"/>
      <c r="AG120" s="3"/>
      <c r="AI120" s="3"/>
      <c r="AJ120" s="3"/>
    </row>
    <row r="123" spans="1:36" x14ac:dyDescent="0.25">
      <c r="A123" s="3" t="s">
        <v>244</v>
      </c>
      <c r="B123" s="59">
        <f>2100000-GETPIVOTDATA("Fiscal Amount",'MGS Renewals'!$A$3,"Program","PhD")</f>
        <v>1743500</v>
      </c>
      <c r="AB123" s="3"/>
      <c r="AC123" s="3"/>
      <c r="AD123" s="3"/>
      <c r="AE123" s="3"/>
      <c r="AF123" s="3"/>
      <c r="AG123" s="3"/>
      <c r="AI123" s="3"/>
      <c r="AJ123" s="3"/>
    </row>
    <row r="124" spans="1:36" ht="12.6" thickBot="1" x14ac:dyDescent="0.3">
      <c r="A124" s="3" t="s">
        <v>245</v>
      </c>
      <c r="B124" s="75">
        <v>571518.6</v>
      </c>
      <c r="AB124" s="3"/>
      <c r="AC124" s="3"/>
      <c r="AD124" s="3"/>
      <c r="AE124" s="3"/>
      <c r="AF124" s="3"/>
      <c r="AG124" s="3"/>
      <c r="AI124" s="3"/>
      <c r="AJ124" s="3"/>
    </row>
    <row r="125" spans="1:36" x14ac:dyDescent="0.25">
      <c r="A125" s="3" t="s">
        <v>17</v>
      </c>
      <c r="B125" s="59">
        <f>SUM(B123:B124)</f>
        <v>2315018.6</v>
      </c>
      <c r="AB125" s="3"/>
      <c r="AC125" s="3"/>
      <c r="AD125" s="3"/>
      <c r="AE125" s="3"/>
      <c r="AF125" s="3"/>
      <c r="AG125" s="3"/>
      <c r="AI125" s="3"/>
      <c r="AJ125" s="3"/>
    </row>
    <row r="126" spans="1:36" ht="12.6" thickBot="1" x14ac:dyDescent="0.3">
      <c r="A126" s="3" t="s">
        <v>83</v>
      </c>
      <c r="B126" s="124">
        <v>0.15</v>
      </c>
      <c r="AB126" s="3"/>
      <c r="AC126" s="3"/>
      <c r="AD126" s="3"/>
      <c r="AE126" s="3"/>
      <c r="AF126" s="3"/>
      <c r="AG126" s="3"/>
      <c r="AI126" s="3"/>
      <c r="AJ126" s="3"/>
    </row>
    <row r="127" spans="1:36" x14ac:dyDescent="0.25">
      <c r="A127" s="5" t="s">
        <v>248</v>
      </c>
      <c r="B127" s="74">
        <f>B125*1.15</f>
        <v>2662271.39</v>
      </c>
      <c r="AB127" s="3"/>
      <c r="AC127" s="3"/>
      <c r="AD127" s="3"/>
      <c r="AE127" s="3"/>
      <c r="AF127" s="3"/>
      <c r="AG127" s="3"/>
      <c r="AI127" s="3"/>
      <c r="AJ127" s="3"/>
    </row>
    <row r="128" spans="1:36" x14ac:dyDescent="0.25">
      <c r="B128" s="74"/>
      <c r="AB128" s="3"/>
      <c r="AC128" s="3"/>
      <c r="AD128" s="3"/>
      <c r="AE128" s="3"/>
      <c r="AF128" s="3"/>
      <c r="AG128" s="3"/>
      <c r="AI128" s="3"/>
      <c r="AJ128" s="3"/>
    </row>
    <row r="129" spans="1:36" x14ac:dyDescent="0.25">
      <c r="A129" s="5" t="s">
        <v>246</v>
      </c>
      <c r="B129" s="74">
        <f>B127/L108</f>
        <v>2215.6514491396706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162"/>
      <c r="Y129" s="159"/>
      <c r="Z129" s="159"/>
      <c r="AA129" s="3"/>
      <c r="AB129" s="3"/>
      <c r="AC129" s="3"/>
      <c r="AD129" s="3"/>
      <c r="AE129" s="3"/>
      <c r="AF129" s="3"/>
      <c r="AG129" s="3"/>
      <c r="AI129" s="3"/>
      <c r="AJ129" s="3"/>
    </row>
  </sheetData>
  <mergeCells count="4">
    <mergeCell ref="C4:I4"/>
    <mergeCell ref="J4:P4"/>
    <mergeCell ref="Q4:Z4"/>
    <mergeCell ref="AA4:AJ4"/>
  </mergeCells>
  <printOptions gridLines="1"/>
  <pageMargins left="0.25" right="0.25" top="0.75" bottom="0.75" header="0.3" footer="0.3"/>
  <pageSetup paperSize="17"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Budget</vt:lpstr>
      <vt:lpstr>MGS Renewals</vt:lpstr>
      <vt:lpstr>UMGF Renewals</vt:lpstr>
      <vt:lpstr>OIA Masters table</vt:lpstr>
      <vt:lpstr>OIA PHD_table</vt:lpstr>
      <vt:lpstr>May MGS Renewals</vt:lpstr>
      <vt:lpstr>May UMGF Renewals</vt:lpstr>
      <vt:lpstr>Final Allocation</vt:lpstr>
      <vt:lpstr>Budget!Print_Area</vt:lpstr>
      <vt:lpstr>'OIA PHD_table'!Print_Area</vt:lpstr>
      <vt:lpstr>Budget!Print_Titles</vt:lpstr>
      <vt:lpstr>'OIA PHD_table'!Print_Titles</vt:lpstr>
      <vt:lpstr>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Rowena Krentz</dc:creator>
  <cp:lastModifiedBy>Rowena Krentz</cp:lastModifiedBy>
  <cp:lastPrinted>2016-05-04T12:53:39Z</cp:lastPrinted>
  <dcterms:created xsi:type="dcterms:W3CDTF">2016-01-14T14:53:56Z</dcterms:created>
  <dcterms:modified xsi:type="dcterms:W3CDTF">2016-05-04T13:00:12Z</dcterms:modified>
</cp:coreProperties>
</file>